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ThisWorkbook" defaultThemeVersion="166925"/>
  <mc:AlternateContent xmlns:mc="http://schemas.openxmlformats.org/markup-compatibility/2006">
    <mc:Choice Requires="x15">
      <x15ac:absPath xmlns:x15ac="http://schemas.microsoft.com/office/spreadsheetml/2010/11/ac" url="C:\Users\Duncan.Pettit\Downloads\"/>
    </mc:Choice>
  </mc:AlternateContent>
  <xr:revisionPtr revIDLastSave="0" documentId="13_ncr:1_{902F1EED-37B3-4A47-84B4-2349489E07B7}" xr6:coauthVersionLast="47" xr6:coauthVersionMax="47" xr10:uidLastSave="{00000000-0000-0000-0000-000000000000}"/>
  <workbookProtection workbookAlgorithmName="SHA-512" workbookHashValue="yOKZjIv4fxU0L9l7zspwNTBKOOSoE40Z+RgGiQYYhPiBfIJ8jySFKO8+NTK81l14h55EWc10/04740HnPe9Pqw==" workbookSaltValue="k6p7SqnXVTESdKf7t/iufQ==" workbookSpinCount="100000" lockStructure="1"/>
  <bookViews>
    <workbookView xWindow="-28920" yWindow="-120" windowWidth="29040" windowHeight="15840" tabRatio="788" firstSheet="1" activeTab="1" xr2:uid="{011BF0A8-136A-4AD2-999A-EE1F67CF9DC0}"/>
  </bookViews>
  <sheets>
    <sheet name="GRI Content Index" sheetId="33" state="hidden" r:id="rId1"/>
    <sheet name="GRI Content" sheetId="49" r:id="rId2"/>
    <sheet name="Economic Values" sheetId="48" r:id="rId3"/>
    <sheet name="Safety" sheetId="46" r:id="rId4"/>
    <sheet name="Water Dec" sheetId="36" state="hidden" r:id="rId5"/>
    <sheet name="Water" sheetId="43" r:id="rId6"/>
    <sheet name="GHG and Energy Use Dec" sheetId="40" state="hidden" r:id="rId7"/>
    <sheet name="GHG and Energy " sheetId="42" r:id="rId8"/>
    <sheet name="Incidents and Spills" sheetId="47" r:id="rId9"/>
    <sheet name="Employment and Training " sheetId="35" state="hidden" r:id="rId10"/>
    <sheet name="Economic Value" sheetId="31" state="hidden" r:id="rId11"/>
    <sheet name="Waste and Materials" sheetId="37" r:id="rId12"/>
    <sheet name="Template (2)" sheetId="17" state="hidden" r:id="rId13"/>
    <sheet name="Land Disturbed" sheetId="26" state="hidden" r:id="rId14"/>
    <sheet name="Air Emissions" sheetId="32" state="hidden"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49" l="1"/>
  <c r="AG38" i="48"/>
  <c r="AG33" i="48"/>
  <c r="AG19" i="48"/>
  <c r="AG4" i="48"/>
  <c r="AF36" i="48"/>
  <c r="AG6" i="48"/>
  <c r="J6" i="48" l="1"/>
  <c r="J4" i="48"/>
  <c r="J3" i="48"/>
  <c r="AF6" i="48"/>
  <c r="AF5" i="48"/>
  <c r="AH3" i="48"/>
  <c r="D36" i="48" l="1"/>
  <c r="K23" i="36"/>
  <c r="K4" i="36"/>
  <c r="BN6" i="36"/>
  <c r="BM6" i="36"/>
  <c r="BL6" i="36"/>
  <c r="BH6" i="36" s="1"/>
  <c r="AL6" i="36"/>
  <c r="AM6" i="36"/>
  <c r="AN6" i="36"/>
  <c r="AO6" i="36"/>
  <c r="AP6" i="36"/>
  <c r="AQ6" i="36"/>
  <c r="AR6" i="36"/>
  <c r="AS6" i="36"/>
  <c r="AT6" i="36"/>
  <c r="AU6" i="36"/>
  <c r="AV6" i="36"/>
  <c r="AW6" i="36"/>
  <c r="AX6" i="36"/>
  <c r="AY6" i="36"/>
  <c r="AZ6" i="36"/>
  <c r="BA6" i="36"/>
  <c r="BB6" i="36"/>
  <c r="BC6" i="36"/>
  <c r="BD6" i="36"/>
  <c r="BE6" i="36"/>
  <c r="BF6" i="36"/>
  <c r="AK6" i="36"/>
  <c r="AJ6" i="36"/>
  <c r="AB6" i="36"/>
  <c r="AC6" i="36"/>
  <c r="AD6" i="36"/>
  <c r="AE6" i="36"/>
  <c r="AF6" i="36"/>
  <c r="AG6" i="36"/>
  <c r="AH6" i="36"/>
  <c r="AA6" i="36"/>
  <c r="Z6" i="36"/>
  <c r="Y6" i="36"/>
  <c r="X6" i="36"/>
  <c r="W6" i="36"/>
  <c r="N6" i="36"/>
  <c r="O6" i="36"/>
  <c r="P6" i="36"/>
  <c r="Q6" i="36"/>
  <c r="R6" i="36"/>
  <c r="S6" i="36"/>
  <c r="T6" i="36"/>
  <c r="U6" i="36"/>
  <c r="M6" i="36"/>
  <c r="L6" i="36"/>
  <c r="C6" i="36"/>
  <c r="D6" i="36"/>
  <c r="E6" i="36"/>
  <c r="F6" i="36"/>
  <c r="G6" i="36"/>
  <c r="H6" i="36"/>
  <c r="I6" i="36"/>
  <c r="J6" i="36"/>
  <c r="B6" i="36"/>
  <c r="T5" i="36"/>
  <c r="T5" i="43"/>
  <c r="N27" i="36"/>
  <c r="O41" i="36"/>
  <c r="V9" i="43"/>
  <c r="V10" i="43"/>
  <c r="V12" i="43"/>
  <c r="V14" i="43"/>
  <c r="V16" i="43"/>
  <c r="V18" i="43"/>
  <c r="V19" i="43"/>
  <c r="V20" i="43"/>
  <c r="V22" i="43"/>
  <c r="V25" i="43"/>
  <c r="V29" i="43"/>
  <c r="V30" i="43"/>
  <c r="V32" i="43"/>
  <c r="V35" i="43"/>
  <c r="V51" i="43"/>
  <c r="V52" i="43"/>
  <c r="V53" i="43"/>
  <c r="V54" i="43"/>
  <c r="V55" i="43"/>
  <c r="V56" i="43"/>
  <c r="V57" i="43"/>
  <c r="V58" i="43"/>
  <c r="K9" i="43"/>
  <c r="K10" i="43"/>
  <c r="K12" i="43"/>
  <c r="K14" i="43"/>
  <c r="K16" i="43"/>
  <c r="K18" i="43"/>
  <c r="K19" i="43"/>
  <c r="K20" i="43"/>
  <c r="K22" i="43"/>
  <c r="K25" i="43"/>
  <c r="K27" i="43"/>
  <c r="K29" i="43"/>
  <c r="K30" i="43"/>
  <c r="K32" i="43"/>
  <c r="K35" i="43"/>
  <c r="K41" i="43"/>
  <c r="K51" i="43"/>
  <c r="K52" i="43"/>
  <c r="K53" i="43"/>
  <c r="K54" i="43"/>
  <c r="K55" i="43"/>
  <c r="K56" i="43"/>
  <c r="K57" i="43"/>
  <c r="K58" i="43"/>
  <c r="O56" i="36"/>
  <c r="E56" i="36"/>
  <c r="F56" i="36"/>
  <c r="B55" i="36"/>
  <c r="O55" i="36"/>
  <c r="E55" i="36"/>
  <c r="E54" i="36"/>
  <c r="N53" i="36"/>
  <c r="E53" i="36"/>
  <c r="B53" i="36"/>
  <c r="E52" i="36"/>
  <c r="AD51" i="36"/>
  <c r="F51" i="36"/>
  <c r="AK32" i="36"/>
  <c r="AM35" i="36"/>
  <c r="AA35" i="36"/>
  <c r="Q35" i="36"/>
  <c r="M35" i="36"/>
  <c r="C35" i="36"/>
  <c r="B35" i="36"/>
  <c r="AG30" i="36"/>
  <c r="AA30" i="36"/>
  <c r="AA32" i="36"/>
  <c r="AG32" i="36"/>
  <c r="C32" i="36"/>
  <c r="P30" i="36"/>
  <c r="E30" i="36"/>
  <c r="B30" i="36"/>
  <c r="E29" i="36"/>
  <c r="C29" i="36"/>
  <c r="B29" i="36"/>
  <c r="AA29" i="36"/>
  <c r="AA27" i="36"/>
  <c r="D27" i="36"/>
  <c r="B27" i="36"/>
  <c r="G27" i="36"/>
  <c r="AN25" i="36"/>
  <c r="M25" i="36"/>
  <c r="E25" i="36"/>
  <c r="B25" i="36"/>
  <c r="AC9" i="36"/>
  <c r="AG9" i="36"/>
  <c r="AA9" i="36"/>
  <c r="F9" i="36"/>
  <c r="E9" i="36"/>
  <c r="B9" i="36"/>
  <c r="C9" i="36"/>
  <c r="AC12" i="36"/>
  <c r="AG12" i="36"/>
  <c r="AA12" i="36"/>
  <c r="B12" i="36"/>
  <c r="E12" i="36"/>
  <c r="B14" i="36"/>
  <c r="C12" i="36"/>
  <c r="AA14" i="36"/>
  <c r="AC14" i="36"/>
  <c r="F14" i="36"/>
  <c r="E14" i="36"/>
  <c r="C14" i="36"/>
  <c r="AQ16" i="36"/>
  <c r="S16" i="36"/>
  <c r="H16" i="36"/>
  <c r="AK22" i="36"/>
  <c r="M22" i="36"/>
  <c r="C22" i="36"/>
  <c r="F22" i="36"/>
  <c r="I19" i="36" l="1"/>
  <c r="H19" i="36"/>
  <c r="F19" i="36"/>
  <c r="B19" i="36"/>
  <c r="B20" i="36"/>
  <c r="E20" i="36"/>
  <c r="AA20" i="36"/>
  <c r="F18" i="36"/>
  <c r="B18" i="36"/>
  <c r="U18" i="36"/>
  <c r="E18" i="36"/>
  <c r="D18" i="36"/>
  <c r="R4" i="48"/>
  <c r="Z4" i="48"/>
  <c r="C5" i="48"/>
  <c r="C4" i="48" s="1"/>
  <c r="E5" i="48"/>
  <c r="E4" i="48" s="1"/>
  <c r="M5" i="48"/>
  <c r="M4" i="48" s="1"/>
  <c r="R5" i="48"/>
  <c r="S5" i="48"/>
  <c r="S4" i="48" s="1"/>
  <c r="S3" i="48" s="1"/>
  <c r="U5" i="48"/>
  <c r="U4" i="48" s="1"/>
  <c r="V5" i="48"/>
  <c r="V4" i="48" s="1"/>
  <c r="Z5" i="48"/>
  <c r="AA5" i="48"/>
  <c r="AA4" i="48" s="1"/>
  <c r="AD5" i="48"/>
  <c r="AD4" i="48" s="1"/>
  <c r="C6" i="48"/>
  <c r="D6" i="48"/>
  <c r="D5" i="48" s="1"/>
  <c r="E6" i="48"/>
  <c r="F6" i="48"/>
  <c r="F5" i="48" s="1"/>
  <c r="F4" i="48" s="1"/>
  <c r="F3" i="48" s="1"/>
  <c r="G6" i="48"/>
  <c r="G5" i="48" s="1"/>
  <c r="G4" i="48" s="1"/>
  <c r="H6" i="48"/>
  <c r="H5" i="48" s="1"/>
  <c r="H4" i="48" s="1"/>
  <c r="I6" i="48"/>
  <c r="I5" i="48" s="1"/>
  <c r="I4" i="48" s="1"/>
  <c r="L6" i="48"/>
  <c r="K6" i="48" s="1"/>
  <c r="M6" i="48"/>
  <c r="N6" i="48"/>
  <c r="N5" i="48" s="1"/>
  <c r="N4" i="48" s="1"/>
  <c r="O6" i="48"/>
  <c r="O5" i="48" s="1"/>
  <c r="O4" i="48" s="1"/>
  <c r="O3" i="48" s="1"/>
  <c r="P6" i="48"/>
  <c r="P5" i="48" s="1"/>
  <c r="P4" i="48" s="1"/>
  <c r="P3" i="48" s="1"/>
  <c r="Q6" i="48"/>
  <c r="Q5" i="48" s="1"/>
  <c r="Q4" i="48" s="1"/>
  <c r="R6" i="48"/>
  <c r="S6" i="48"/>
  <c r="T6" i="48"/>
  <c r="T5" i="48" s="1"/>
  <c r="T4" i="48" s="1"/>
  <c r="U6" i="48"/>
  <c r="W6" i="48"/>
  <c r="W5" i="48" s="1"/>
  <c r="W4" i="48" s="1"/>
  <c r="X6" i="48"/>
  <c r="X5" i="48" s="1"/>
  <c r="X4" i="48" s="1"/>
  <c r="X3" i="48" s="1"/>
  <c r="Y6" i="48"/>
  <c r="Y5" i="48" s="1"/>
  <c r="Y4" i="48" s="1"/>
  <c r="Y3" i="48" s="1"/>
  <c r="Z6" i="48"/>
  <c r="AA6" i="48"/>
  <c r="AC6" i="48"/>
  <c r="AB6" i="48" s="1"/>
  <c r="AE6" i="48"/>
  <c r="AE5" i="48" s="1"/>
  <c r="AE4" i="48" s="1"/>
  <c r="C7" i="48"/>
  <c r="E7" i="48"/>
  <c r="F7" i="48"/>
  <c r="G7" i="48"/>
  <c r="H7" i="48"/>
  <c r="I7" i="48"/>
  <c r="L7" i="48"/>
  <c r="M7" i="48"/>
  <c r="N7" i="48"/>
  <c r="O7" i="48"/>
  <c r="P7" i="48"/>
  <c r="Q7" i="48"/>
  <c r="R7" i="48"/>
  <c r="S7" i="48"/>
  <c r="T7" i="48"/>
  <c r="U7" i="48"/>
  <c r="V7" i="48"/>
  <c r="W7" i="48"/>
  <c r="X7" i="48"/>
  <c r="Y7" i="48"/>
  <c r="Z7" i="48"/>
  <c r="AA7" i="48"/>
  <c r="AC7" i="48"/>
  <c r="AD7" i="48"/>
  <c r="AE7" i="48"/>
  <c r="D8" i="48"/>
  <c r="D7" i="48" s="1"/>
  <c r="K8" i="48"/>
  <c r="K7" i="48" s="1"/>
  <c r="W8" i="48"/>
  <c r="AB8" i="48"/>
  <c r="AB7" i="48" s="1"/>
  <c r="C9" i="48"/>
  <c r="E9" i="48"/>
  <c r="F9" i="48"/>
  <c r="G9" i="48"/>
  <c r="H9" i="48"/>
  <c r="I9" i="48"/>
  <c r="K9" i="48"/>
  <c r="L9" i="48"/>
  <c r="M9" i="48"/>
  <c r="N9" i="48"/>
  <c r="O9" i="48"/>
  <c r="P9" i="48"/>
  <c r="Q9" i="48"/>
  <c r="R9" i="48"/>
  <c r="S9" i="48"/>
  <c r="T9" i="48"/>
  <c r="U9" i="48"/>
  <c r="V9" i="48"/>
  <c r="W9" i="48"/>
  <c r="X9" i="48"/>
  <c r="Y9" i="48"/>
  <c r="Z9" i="48"/>
  <c r="AA9" i="48"/>
  <c r="AC9" i="48"/>
  <c r="AD9" i="48"/>
  <c r="AE9" i="48"/>
  <c r="D10" i="48"/>
  <c r="D9" i="48" s="1"/>
  <c r="J10" i="48"/>
  <c r="AF10" i="48" s="1"/>
  <c r="AF9" i="48" s="1"/>
  <c r="K10" i="48"/>
  <c r="W10" i="48"/>
  <c r="AB10" i="48"/>
  <c r="AB9" i="48" s="1"/>
  <c r="C11" i="48"/>
  <c r="E11" i="48"/>
  <c r="F11" i="48"/>
  <c r="G11" i="48"/>
  <c r="H11" i="48"/>
  <c r="I11" i="48"/>
  <c r="K11" i="48"/>
  <c r="L11" i="48"/>
  <c r="M11" i="48"/>
  <c r="N11" i="48"/>
  <c r="O11" i="48"/>
  <c r="P11" i="48"/>
  <c r="Q11" i="48"/>
  <c r="R11" i="48"/>
  <c r="S11" i="48"/>
  <c r="T11" i="48"/>
  <c r="U11" i="48"/>
  <c r="V11" i="48"/>
  <c r="X11" i="48"/>
  <c r="Y11" i="48"/>
  <c r="Z11" i="48"/>
  <c r="AA11" i="48"/>
  <c r="AC11" i="48"/>
  <c r="AD11" i="48"/>
  <c r="AE11" i="48"/>
  <c r="D12" i="48"/>
  <c r="AG12" i="48" s="1"/>
  <c r="AG11" i="48" s="1"/>
  <c r="J12" i="48"/>
  <c r="J11" i="48" s="1"/>
  <c r="K12" i="48"/>
  <c r="W12" i="48"/>
  <c r="W11" i="48" s="1"/>
  <c r="AB12" i="48"/>
  <c r="AB11" i="48" s="1"/>
  <c r="C13" i="48"/>
  <c r="E13" i="48"/>
  <c r="F13" i="48"/>
  <c r="G13" i="48"/>
  <c r="H13" i="48"/>
  <c r="I13" i="48"/>
  <c r="L13" i="48"/>
  <c r="M13" i="48"/>
  <c r="N13" i="48"/>
  <c r="O13" i="48"/>
  <c r="P13" i="48"/>
  <c r="Q13" i="48"/>
  <c r="R13" i="48"/>
  <c r="S13" i="48"/>
  <c r="T13" i="48"/>
  <c r="U13" i="48"/>
  <c r="V13" i="48"/>
  <c r="X13" i="48"/>
  <c r="Y13" i="48"/>
  <c r="Z13" i="48"/>
  <c r="AA13" i="48"/>
  <c r="AC13" i="48"/>
  <c r="AD13" i="48"/>
  <c r="AE13" i="48"/>
  <c r="D14" i="48"/>
  <c r="K14" i="48"/>
  <c r="K13" i="48" s="1"/>
  <c r="W14" i="48"/>
  <c r="W13" i="48" s="1"/>
  <c r="AB14" i="48"/>
  <c r="AB13" i="48" s="1"/>
  <c r="D15" i="48"/>
  <c r="K15" i="48"/>
  <c r="J15" i="48" s="1"/>
  <c r="AG15" i="48" s="1"/>
  <c r="W15" i="48"/>
  <c r="AB15" i="48"/>
  <c r="AF15" i="48" s="1"/>
  <c r="D16" i="48"/>
  <c r="K16" i="48"/>
  <c r="J16" i="48" s="1"/>
  <c r="W16" i="48"/>
  <c r="AB16" i="48"/>
  <c r="C17" i="48"/>
  <c r="E17" i="48"/>
  <c r="F17" i="48"/>
  <c r="G17" i="48"/>
  <c r="H17" i="48"/>
  <c r="I17" i="48"/>
  <c r="K17" i="48"/>
  <c r="L17" i="48"/>
  <c r="M17" i="48"/>
  <c r="N17" i="48"/>
  <c r="O17" i="48"/>
  <c r="P17" i="48"/>
  <c r="Q17" i="48"/>
  <c r="R17" i="48"/>
  <c r="S17" i="48"/>
  <c r="T17" i="48"/>
  <c r="U17" i="48"/>
  <c r="V17" i="48"/>
  <c r="X17" i="48"/>
  <c r="Y17" i="48"/>
  <c r="Z17" i="48"/>
  <c r="AA17" i="48"/>
  <c r="AC17" i="48"/>
  <c r="AD17" i="48"/>
  <c r="AE17" i="48"/>
  <c r="D18" i="48"/>
  <c r="D17" i="48" s="1"/>
  <c r="J18" i="48"/>
  <c r="J17" i="48" s="1"/>
  <c r="K18" i="48"/>
  <c r="W18" i="48"/>
  <c r="W17" i="48" s="1"/>
  <c r="AB18" i="48"/>
  <c r="AB17" i="48" s="1"/>
  <c r="C20" i="48"/>
  <c r="D20" i="48"/>
  <c r="E20" i="48"/>
  <c r="F20" i="48"/>
  <c r="F19" i="48" s="1"/>
  <c r="G20" i="48"/>
  <c r="G19" i="48" s="1"/>
  <c r="H20" i="48"/>
  <c r="H19" i="48" s="1"/>
  <c r="I20" i="48"/>
  <c r="I19" i="48" s="1"/>
  <c r="L20" i="48"/>
  <c r="L19" i="48" s="1"/>
  <c r="M20" i="48"/>
  <c r="N20" i="48"/>
  <c r="N19" i="48" s="1"/>
  <c r="O20" i="48"/>
  <c r="O19" i="48" s="1"/>
  <c r="P20" i="48"/>
  <c r="P19" i="48" s="1"/>
  <c r="Q20" i="48"/>
  <c r="Q19" i="48" s="1"/>
  <c r="R20" i="48"/>
  <c r="R19" i="48" s="1"/>
  <c r="S20" i="48"/>
  <c r="T20" i="48"/>
  <c r="T19" i="48" s="1"/>
  <c r="U20" i="48"/>
  <c r="V20" i="48"/>
  <c r="V19" i="48" s="1"/>
  <c r="X20" i="48"/>
  <c r="X19" i="48" s="1"/>
  <c r="Y20" i="48"/>
  <c r="Y19" i="48" s="1"/>
  <c r="Z20" i="48"/>
  <c r="Z19" i="48" s="1"/>
  <c r="AA20" i="48"/>
  <c r="AB20" i="48"/>
  <c r="AC20" i="48"/>
  <c r="AD20" i="48"/>
  <c r="AD19" i="48" s="1"/>
  <c r="AE20" i="48"/>
  <c r="AE19" i="48" s="1"/>
  <c r="D21" i="48"/>
  <c r="K21" i="48"/>
  <c r="K20" i="48" s="1"/>
  <c r="W21" i="48"/>
  <c r="W20" i="48" s="1"/>
  <c r="AB21" i="48"/>
  <c r="D22" i="48"/>
  <c r="AG22" i="48" s="1"/>
  <c r="K22" i="48"/>
  <c r="J22" i="48" s="1"/>
  <c r="W22" i="48"/>
  <c r="AB22" i="48"/>
  <c r="C23" i="48"/>
  <c r="E23" i="48"/>
  <c r="F23" i="48"/>
  <c r="G23" i="48"/>
  <c r="H23" i="48"/>
  <c r="I23" i="48"/>
  <c r="L23" i="48"/>
  <c r="M23" i="48"/>
  <c r="N23" i="48"/>
  <c r="O23" i="48"/>
  <c r="P23" i="48"/>
  <c r="Q23" i="48"/>
  <c r="R23" i="48"/>
  <c r="S23" i="48"/>
  <c r="T23" i="48"/>
  <c r="U23" i="48"/>
  <c r="V23" i="48"/>
  <c r="W23" i="48"/>
  <c r="X23" i="48"/>
  <c r="Y23" i="48"/>
  <c r="Z23" i="48"/>
  <c r="AA23" i="48"/>
  <c r="AC23" i="48"/>
  <c r="AD23" i="48"/>
  <c r="AE23" i="48"/>
  <c r="D24" i="48"/>
  <c r="D23" i="48" s="1"/>
  <c r="K24" i="48"/>
  <c r="K23" i="48" s="1"/>
  <c r="W24" i="48"/>
  <c r="AB24" i="48"/>
  <c r="AB23" i="48" s="1"/>
  <c r="D25" i="48"/>
  <c r="AG25" i="48" s="1"/>
  <c r="J25" i="48"/>
  <c r="W25" i="48"/>
  <c r="AB25" i="48"/>
  <c r="AF25" i="48" s="1"/>
  <c r="C26" i="48"/>
  <c r="C19" i="48" s="1"/>
  <c r="E26" i="48"/>
  <c r="E19" i="48" s="1"/>
  <c r="F26" i="48"/>
  <c r="G26" i="48"/>
  <c r="H26" i="48"/>
  <c r="I26" i="48"/>
  <c r="K26" i="48"/>
  <c r="L26" i="48"/>
  <c r="M26" i="48"/>
  <c r="M19" i="48" s="1"/>
  <c r="N26" i="48"/>
  <c r="O26" i="48"/>
  <c r="P26" i="48"/>
  <c r="Q26" i="48"/>
  <c r="R26" i="48"/>
  <c r="S26" i="48"/>
  <c r="S19" i="48" s="1"/>
  <c r="T26" i="48"/>
  <c r="U26" i="48"/>
  <c r="U19" i="48" s="1"/>
  <c r="V26" i="48"/>
  <c r="X26" i="48"/>
  <c r="Y26" i="48"/>
  <c r="Z26" i="48"/>
  <c r="AA26" i="48"/>
  <c r="AA19" i="48" s="1"/>
  <c r="AC26" i="48"/>
  <c r="AC19" i="48" s="1"/>
  <c r="AD26" i="48"/>
  <c r="AE26" i="48"/>
  <c r="D27" i="48"/>
  <c r="D26" i="48" s="1"/>
  <c r="J27" i="48"/>
  <c r="AG27" i="48" s="1"/>
  <c r="AG26" i="48" s="1"/>
  <c r="K27" i="48"/>
  <c r="W27" i="48"/>
  <c r="W26" i="48" s="1"/>
  <c r="AB27" i="48"/>
  <c r="AB26" i="48" s="1"/>
  <c r="C28" i="48"/>
  <c r="E28" i="48"/>
  <c r="F28" i="48"/>
  <c r="G28" i="48"/>
  <c r="H28" i="48"/>
  <c r="I28" i="48"/>
  <c r="L28" i="48"/>
  <c r="M28" i="48"/>
  <c r="N28" i="48"/>
  <c r="O28" i="48"/>
  <c r="P28" i="48"/>
  <c r="Q28" i="48"/>
  <c r="R28" i="48"/>
  <c r="S28" i="48"/>
  <c r="T28" i="48"/>
  <c r="U28" i="48"/>
  <c r="V28" i="48"/>
  <c r="X28" i="48"/>
  <c r="Y28" i="48"/>
  <c r="Z28" i="48"/>
  <c r="AA28" i="48"/>
  <c r="AC28" i="48"/>
  <c r="AD28" i="48"/>
  <c r="AE28" i="48"/>
  <c r="D29" i="48"/>
  <c r="D28" i="48" s="1"/>
  <c r="K29" i="48"/>
  <c r="K28" i="48" s="1"/>
  <c r="W29" i="48"/>
  <c r="W28" i="48" s="1"/>
  <c r="AB29" i="48"/>
  <c r="AB28" i="48" s="1"/>
  <c r="D30" i="48"/>
  <c r="J30" i="48"/>
  <c r="K30" i="48"/>
  <c r="W30" i="48"/>
  <c r="AB30" i="48"/>
  <c r="AF30" i="48" s="1"/>
  <c r="AG30" i="48"/>
  <c r="C31" i="48"/>
  <c r="E31" i="48"/>
  <c r="F31" i="48"/>
  <c r="G31" i="48"/>
  <c r="H31" i="48"/>
  <c r="I31" i="48"/>
  <c r="J31" i="48"/>
  <c r="L31" i="48"/>
  <c r="M31" i="48"/>
  <c r="N31" i="48"/>
  <c r="O31" i="48"/>
  <c r="P31" i="48"/>
  <c r="Q31" i="48"/>
  <c r="R31" i="48"/>
  <c r="S31" i="48"/>
  <c r="T31" i="48"/>
  <c r="U31" i="48"/>
  <c r="V31" i="48"/>
  <c r="X31" i="48"/>
  <c r="Y31" i="48"/>
  <c r="Z31" i="48"/>
  <c r="AA31" i="48"/>
  <c r="AC31" i="48"/>
  <c r="AD31" i="48"/>
  <c r="AE31" i="48"/>
  <c r="D32" i="48"/>
  <c r="D31" i="48" s="1"/>
  <c r="J32" i="48"/>
  <c r="K32" i="48"/>
  <c r="K31" i="48" s="1"/>
  <c r="W32" i="48"/>
  <c r="W31" i="48" s="1"/>
  <c r="AB32" i="48"/>
  <c r="AB31" i="48" s="1"/>
  <c r="AG32" i="48"/>
  <c r="AG31" i="48" s="1"/>
  <c r="L33" i="48"/>
  <c r="R33" i="48"/>
  <c r="T33" i="48"/>
  <c r="C34" i="48"/>
  <c r="C33" i="48" s="1"/>
  <c r="E34" i="48"/>
  <c r="E33" i="48" s="1"/>
  <c r="F34" i="48"/>
  <c r="F33" i="48" s="1"/>
  <c r="G34" i="48"/>
  <c r="G33" i="48" s="1"/>
  <c r="H34" i="48"/>
  <c r="H33" i="48" s="1"/>
  <c r="I34" i="48"/>
  <c r="I33" i="48" s="1"/>
  <c r="K34" i="48"/>
  <c r="L34" i="48"/>
  <c r="M34" i="48"/>
  <c r="M33" i="48" s="1"/>
  <c r="N34" i="48"/>
  <c r="N33" i="48" s="1"/>
  <c r="O34" i="48"/>
  <c r="O33" i="48" s="1"/>
  <c r="P34" i="48"/>
  <c r="P33" i="48" s="1"/>
  <c r="Q34" i="48"/>
  <c r="Q33" i="48" s="1"/>
  <c r="R34" i="48"/>
  <c r="S34" i="48"/>
  <c r="S33" i="48" s="1"/>
  <c r="T34" i="48"/>
  <c r="U34" i="48"/>
  <c r="U33" i="48" s="1"/>
  <c r="V34" i="48"/>
  <c r="V33" i="48" s="1"/>
  <c r="X34" i="48"/>
  <c r="X33" i="48" s="1"/>
  <c r="Y34" i="48"/>
  <c r="Y33" i="48" s="1"/>
  <c r="Z34" i="48"/>
  <c r="Z33" i="48" s="1"/>
  <c r="AA34" i="48"/>
  <c r="AA33" i="48" s="1"/>
  <c r="AC34" i="48"/>
  <c r="AC33" i="48" s="1"/>
  <c r="AD34" i="48"/>
  <c r="AD33" i="48" s="1"/>
  <c r="AE34" i="48"/>
  <c r="AE33" i="48" s="1"/>
  <c r="D35" i="48"/>
  <c r="D34" i="48" s="1"/>
  <c r="D33" i="48" s="1"/>
  <c r="J35" i="48"/>
  <c r="AG35" i="48" s="1"/>
  <c r="K35" i="48"/>
  <c r="W35" i="48"/>
  <c r="AB35" i="48"/>
  <c r="AB34" i="48" s="1"/>
  <c r="AB33" i="48" s="1"/>
  <c r="K36" i="48"/>
  <c r="J36" i="48" s="1"/>
  <c r="AG36" i="48" s="1"/>
  <c r="W36" i="48"/>
  <c r="AB36" i="48"/>
  <c r="C37" i="48"/>
  <c r="E37" i="48"/>
  <c r="F37" i="48"/>
  <c r="G37" i="48"/>
  <c r="H37" i="48"/>
  <c r="I37" i="48"/>
  <c r="L37" i="48"/>
  <c r="M37" i="48"/>
  <c r="N37" i="48"/>
  <c r="O37" i="48"/>
  <c r="P37" i="48"/>
  <c r="Q37" i="48"/>
  <c r="R37" i="48"/>
  <c r="S37" i="48"/>
  <c r="T37" i="48"/>
  <c r="U37" i="48"/>
  <c r="V37" i="48"/>
  <c r="W37" i="48"/>
  <c r="X37" i="48"/>
  <c r="Y37" i="48"/>
  <c r="Z37" i="48"/>
  <c r="AA37" i="48"/>
  <c r="AC37" i="48"/>
  <c r="AD37" i="48"/>
  <c r="AE37" i="48"/>
  <c r="D38" i="48"/>
  <c r="D37" i="48" s="1"/>
  <c r="K38" i="48"/>
  <c r="K37" i="48" s="1"/>
  <c r="W38" i="48"/>
  <c r="AB38" i="48"/>
  <c r="AB37" i="48" s="1"/>
  <c r="C32" i="37"/>
  <c r="D32" i="37"/>
  <c r="H32" i="37"/>
  <c r="E7" i="37"/>
  <c r="N5" i="37"/>
  <c r="M5" i="37"/>
  <c r="K5" i="37"/>
  <c r="G5" i="37"/>
  <c r="E5" i="37"/>
  <c r="G52" i="37"/>
  <c r="G56" i="37"/>
  <c r="G57" i="37"/>
  <c r="G40" i="37"/>
  <c r="G29" i="37"/>
  <c r="G28" i="37"/>
  <c r="G23" i="37"/>
  <c r="G21" i="37"/>
  <c r="F5" i="37"/>
  <c r="W34" i="48" l="1"/>
  <c r="W33" i="48" s="1"/>
  <c r="AF16" i="48"/>
  <c r="AG16" i="48"/>
  <c r="U3" i="48"/>
  <c r="AB19" i="48"/>
  <c r="AF21" i="48"/>
  <c r="AF20" i="48" s="1"/>
  <c r="K33" i="48"/>
  <c r="W19" i="48"/>
  <c r="W3" i="48" s="1"/>
  <c r="M3" i="48"/>
  <c r="K19" i="48"/>
  <c r="AE3" i="48"/>
  <c r="T3" i="48"/>
  <c r="J5" i="48"/>
  <c r="K5" i="48"/>
  <c r="K4" i="48" s="1"/>
  <c r="K3" i="48" s="1"/>
  <c r="AD3" i="48"/>
  <c r="E3" i="48"/>
  <c r="N3" i="48"/>
  <c r="AB5" i="48"/>
  <c r="AB4" i="48" s="1"/>
  <c r="AB3" i="48" s="1"/>
  <c r="I3" i="48"/>
  <c r="AA3" i="48"/>
  <c r="D19" i="48"/>
  <c r="H3" i="48"/>
  <c r="Z3" i="48"/>
  <c r="AG34" i="48"/>
  <c r="AF22" i="48"/>
  <c r="Q3" i="48"/>
  <c r="G3" i="48"/>
  <c r="V3" i="48"/>
  <c r="R3" i="48"/>
  <c r="AC5" i="48"/>
  <c r="AC4" i="48" s="1"/>
  <c r="AC3" i="48" s="1"/>
  <c r="AF29" i="48"/>
  <c r="AF28" i="48" s="1"/>
  <c r="D11" i="48"/>
  <c r="D4" i="48" s="1"/>
  <c r="D3" i="48" s="1"/>
  <c r="J9" i="48"/>
  <c r="AG8" i="48"/>
  <c r="AG7" i="48" s="1"/>
  <c r="L5" i="48"/>
  <c r="L4" i="48" s="1"/>
  <c r="L3" i="48" s="1"/>
  <c r="J34" i="48"/>
  <c r="AF32" i="48"/>
  <c r="AF31" i="48" s="1"/>
  <c r="J26" i="48"/>
  <c r="J21" i="48"/>
  <c r="AG18" i="48"/>
  <c r="AG17" i="48" s="1"/>
  <c r="D13" i="48"/>
  <c r="AG10" i="48"/>
  <c r="AG9" i="48" s="1"/>
  <c r="J29" i="48"/>
  <c r="AF18" i="48"/>
  <c r="AF17" i="48" s="1"/>
  <c r="J14" i="48"/>
  <c r="J13" i="48" s="1"/>
  <c r="J38" i="48"/>
  <c r="AG37" i="48" s="1"/>
  <c r="AF35" i="48"/>
  <c r="AF34" i="48" s="1"/>
  <c r="AF27" i="48"/>
  <c r="AF26" i="48" s="1"/>
  <c r="J24" i="48"/>
  <c r="AF12" i="48"/>
  <c r="AF11" i="48" s="1"/>
  <c r="J8" i="48"/>
  <c r="C55" i="37"/>
  <c r="D55" i="37"/>
  <c r="B55" i="37"/>
  <c r="C54" i="37"/>
  <c r="D54" i="37"/>
  <c r="B54" i="37"/>
  <c r="C53" i="37"/>
  <c r="D53" i="37"/>
  <c r="B53" i="37"/>
  <c r="C52" i="37"/>
  <c r="D52" i="37"/>
  <c r="D49" i="37" s="1"/>
  <c r="B52" i="37"/>
  <c r="C51" i="37"/>
  <c r="D51" i="37"/>
  <c r="B51" i="37"/>
  <c r="C50" i="37"/>
  <c r="D50" i="37"/>
  <c r="B50" i="37"/>
  <c r="C40" i="37"/>
  <c r="D40" i="37"/>
  <c r="B40" i="37"/>
  <c r="C34" i="37"/>
  <c r="D34" i="37"/>
  <c r="B34" i="37"/>
  <c r="B33" i="37" s="1"/>
  <c r="C31" i="37"/>
  <c r="D31" i="37"/>
  <c r="B31" i="37"/>
  <c r="B30" i="37" s="1"/>
  <c r="C29" i="37"/>
  <c r="D29" i="37"/>
  <c r="B29" i="37"/>
  <c r="C28" i="37"/>
  <c r="D28" i="37"/>
  <c r="B28" i="37"/>
  <c r="C26" i="37"/>
  <c r="C25" i="37" s="1"/>
  <c r="D26" i="37"/>
  <c r="D25" i="37" s="1"/>
  <c r="B26" i="37"/>
  <c r="C20" i="37"/>
  <c r="C19" i="37" s="1"/>
  <c r="D20" i="37"/>
  <c r="D19" i="37" s="1"/>
  <c r="B20" i="37"/>
  <c r="C17" i="37"/>
  <c r="D17" i="37"/>
  <c r="D16" i="37" s="1"/>
  <c r="B17" i="37"/>
  <c r="C15" i="37"/>
  <c r="D15" i="37"/>
  <c r="B15" i="37"/>
  <c r="C14" i="37"/>
  <c r="D14" i="37"/>
  <c r="B14" i="37"/>
  <c r="B12" i="37" s="1"/>
  <c r="C13" i="37"/>
  <c r="C12" i="37" s="1"/>
  <c r="D13" i="37"/>
  <c r="D12" i="37" s="1"/>
  <c r="B13" i="37"/>
  <c r="C11" i="37"/>
  <c r="D11" i="37"/>
  <c r="B11" i="37"/>
  <c r="C9" i="37"/>
  <c r="D9" i="37"/>
  <c r="B9" i="37"/>
  <c r="C7" i="37"/>
  <c r="D7" i="37"/>
  <c r="B7" i="37"/>
  <c r="D5" i="37"/>
  <c r="C5" i="37"/>
  <c r="C4" i="37" s="1"/>
  <c r="B5" i="37"/>
  <c r="B4" i="37" s="1"/>
  <c r="K49" i="37"/>
  <c r="K39" i="37" s="1"/>
  <c r="K32" i="37" s="1"/>
  <c r="L49" i="37"/>
  <c r="L39" i="37" s="1"/>
  <c r="L32" i="37" s="1"/>
  <c r="M49" i="37"/>
  <c r="N49" i="37"/>
  <c r="J49" i="37"/>
  <c r="J39" i="37" s="1"/>
  <c r="J32" i="37" s="1"/>
  <c r="E49" i="37"/>
  <c r="F49" i="37"/>
  <c r="F39" i="37" s="1"/>
  <c r="F32" i="37" s="1"/>
  <c r="G49" i="37"/>
  <c r="G39" i="37" s="1"/>
  <c r="G32" i="37" s="1"/>
  <c r="H49" i="37"/>
  <c r="B49" i="37"/>
  <c r="B39" i="37" s="1"/>
  <c r="M39" i="37"/>
  <c r="M32" i="37" s="1"/>
  <c r="N39" i="37"/>
  <c r="N32" i="37" s="1"/>
  <c r="H39" i="37"/>
  <c r="K33" i="37"/>
  <c r="L33" i="37"/>
  <c r="M33" i="37"/>
  <c r="N33" i="37"/>
  <c r="J33" i="37"/>
  <c r="C33" i="37"/>
  <c r="D33" i="37"/>
  <c r="E33" i="37"/>
  <c r="F33" i="37"/>
  <c r="G33" i="37"/>
  <c r="H33" i="37"/>
  <c r="K30" i="37"/>
  <c r="L30" i="37"/>
  <c r="M30" i="37"/>
  <c r="N30" i="37"/>
  <c r="J30" i="37"/>
  <c r="C30" i="37"/>
  <c r="D30" i="37"/>
  <c r="E30" i="37"/>
  <c r="F30" i="37"/>
  <c r="G30" i="37"/>
  <c r="H30" i="37"/>
  <c r="K27" i="37"/>
  <c r="L27" i="37"/>
  <c r="M27" i="37"/>
  <c r="N27" i="37"/>
  <c r="J27" i="37"/>
  <c r="C27" i="37"/>
  <c r="D27" i="37"/>
  <c r="E27" i="37"/>
  <c r="F27" i="37"/>
  <c r="G27" i="37"/>
  <c r="H27" i="37"/>
  <c r="B27" i="37"/>
  <c r="K25" i="37"/>
  <c r="L25" i="37"/>
  <c r="M25" i="37"/>
  <c r="N25" i="37"/>
  <c r="J25" i="37"/>
  <c r="E25" i="37"/>
  <c r="F25" i="37"/>
  <c r="G25" i="37"/>
  <c r="H25" i="37"/>
  <c r="B25" i="37"/>
  <c r="K22" i="37"/>
  <c r="L22" i="37"/>
  <c r="L18" i="37" s="1"/>
  <c r="M22" i="37"/>
  <c r="N22" i="37"/>
  <c r="J22" i="37"/>
  <c r="C22" i="37"/>
  <c r="D22" i="37"/>
  <c r="E22" i="37"/>
  <c r="F22" i="37"/>
  <c r="G22" i="37"/>
  <c r="H22" i="37"/>
  <c r="B22" i="37"/>
  <c r="K19" i="37"/>
  <c r="L19" i="37"/>
  <c r="M19" i="37"/>
  <c r="N19" i="37"/>
  <c r="J19" i="37"/>
  <c r="E19" i="37"/>
  <c r="E18" i="37" s="1"/>
  <c r="F19" i="37"/>
  <c r="G19" i="37"/>
  <c r="H19" i="37"/>
  <c r="B19" i="37"/>
  <c r="K16" i="37"/>
  <c r="L16" i="37"/>
  <c r="M16" i="37"/>
  <c r="N16" i="37"/>
  <c r="J16" i="37"/>
  <c r="C16" i="37"/>
  <c r="E16" i="37"/>
  <c r="F16" i="37"/>
  <c r="G16" i="37"/>
  <c r="H16" i="37"/>
  <c r="B16" i="37"/>
  <c r="K12" i="37"/>
  <c r="L12" i="37"/>
  <c r="M12" i="37"/>
  <c r="N12" i="37"/>
  <c r="J12" i="37"/>
  <c r="E12" i="37"/>
  <c r="F12" i="37"/>
  <c r="G12" i="37"/>
  <c r="H12" i="37"/>
  <c r="K10" i="37"/>
  <c r="L10" i="37"/>
  <c r="M10" i="37"/>
  <c r="N10" i="37"/>
  <c r="J10" i="37"/>
  <c r="C10" i="37"/>
  <c r="D10" i="37"/>
  <c r="E10" i="37"/>
  <c r="F10" i="37"/>
  <c r="G10" i="37"/>
  <c r="H10" i="37"/>
  <c r="B10" i="37"/>
  <c r="K8" i="37"/>
  <c r="L8" i="37"/>
  <c r="M8" i="37"/>
  <c r="N8" i="37"/>
  <c r="J8" i="37"/>
  <c r="C8" i="37"/>
  <c r="D8" i="37"/>
  <c r="E8" i="37"/>
  <c r="F8" i="37"/>
  <c r="G8" i="37"/>
  <c r="H8" i="37"/>
  <c r="B8" i="37"/>
  <c r="K6" i="37"/>
  <c r="L6" i="37"/>
  <c r="M6" i="37"/>
  <c r="N6" i="37"/>
  <c r="J6" i="37"/>
  <c r="C6" i="37"/>
  <c r="D6" i="37"/>
  <c r="E6" i="37"/>
  <c r="F6" i="37"/>
  <c r="G6" i="37"/>
  <c r="H6" i="37"/>
  <c r="B6" i="37"/>
  <c r="K4" i="37"/>
  <c r="L4" i="37"/>
  <c r="L3" i="37" s="1"/>
  <c r="M4" i="37"/>
  <c r="N4" i="37"/>
  <c r="J4" i="37"/>
  <c r="D4" i="37"/>
  <c r="F4" i="37"/>
  <c r="G4" i="37"/>
  <c r="H4" i="37"/>
  <c r="B5" i="47"/>
  <c r="B4" i="47" s="1"/>
  <c r="C5" i="47"/>
  <c r="C4" i="47" s="1"/>
  <c r="E5" i="47"/>
  <c r="F5" i="47"/>
  <c r="G5" i="47"/>
  <c r="G4" i="47" s="1"/>
  <c r="H5" i="47"/>
  <c r="I5" i="47"/>
  <c r="I4" i="47" s="1"/>
  <c r="J5" i="47"/>
  <c r="J4" i="47" s="1"/>
  <c r="J3" i="47" s="1"/>
  <c r="K5" i="47"/>
  <c r="K4" i="47" s="1"/>
  <c r="L5" i="47"/>
  <c r="M5" i="47"/>
  <c r="M4" i="47" s="1"/>
  <c r="N5" i="47"/>
  <c r="Q5" i="47"/>
  <c r="Q4" i="47" s="1"/>
  <c r="S5" i="47"/>
  <c r="S4" i="47" s="1"/>
  <c r="D6" i="47"/>
  <c r="D5" i="47" s="1"/>
  <c r="D4" i="47" s="1"/>
  <c r="E6" i="47"/>
  <c r="N6" i="47"/>
  <c r="P6" i="47"/>
  <c r="P5" i="47" s="1"/>
  <c r="P4" i="47" s="1"/>
  <c r="Q6" i="47"/>
  <c r="R6" i="47"/>
  <c r="R5" i="47" s="1"/>
  <c r="R4" i="47" s="1"/>
  <c r="S6" i="47"/>
  <c r="T6" i="47"/>
  <c r="T5" i="47" s="1"/>
  <c r="T4" i="47" s="1"/>
  <c r="B7" i="47"/>
  <c r="C7" i="47"/>
  <c r="D7" i="47"/>
  <c r="F7" i="47"/>
  <c r="G7" i="47"/>
  <c r="H7" i="47"/>
  <c r="I7" i="47"/>
  <c r="J7" i="47"/>
  <c r="K7" i="47"/>
  <c r="L7" i="47"/>
  <c r="M7" i="47"/>
  <c r="N7" i="47"/>
  <c r="O7" i="47"/>
  <c r="P7" i="47"/>
  <c r="Q7" i="47"/>
  <c r="R7" i="47"/>
  <c r="S7" i="47"/>
  <c r="T7" i="47"/>
  <c r="E8" i="47"/>
  <c r="E7" i="47" s="1"/>
  <c r="O8" i="47"/>
  <c r="B9" i="47"/>
  <c r="C9" i="47"/>
  <c r="D9" i="47"/>
  <c r="E9" i="47"/>
  <c r="F9" i="47"/>
  <c r="G9" i="47"/>
  <c r="H9" i="47"/>
  <c r="H4" i="47" s="1"/>
  <c r="I9" i="47"/>
  <c r="J9" i="47"/>
  <c r="K9" i="47"/>
  <c r="L9" i="47"/>
  <c r="L4" i="47" s="1"/>
  <c r="M9" i="47"/>
  <c r="N9" i="47"/>
  <c r="P9" i="47"/>
  <c r="Q9" i="47"/>
  <c r="R9" i="47"/>
  <c r="S9" i="47"/>
  <c r="T9" i="47"/>
  <c r="O10" i="47"/>
  <c r="O9" i="47" s="1"/>
  <c r="B11" i="47"/>
  <c r="C11" i="47"/>
  <c r="D11" i="47"/>
  <c r="F11" i="47"/>
  <c r="F4" i="47" s="1"/>
  <c r="G11" i="47"/>
  <c r="H11" i="47"/>
  <c r="I11" i="47"/>
  <c r="J11" i="47"/>
  <c r="K11" i="47"/>
  <c r="L11" i="47"/>
  <c r="M11" i="47"/>
  <c r="N11" i="47"/>
  <c r="N4" i="47" s="1"/>
  <c r="P11" i="47"/>
  <c r="Q11" i="47"/>
  <c r="R11" i="47"/>
  <c r="S11" i="47"/>
  <c r="T11" i="47"/>
  <c r="E12" i="47"/>
  <c r="E11" i="47" s="1"/>
  <c r="O12" i="47"/>
  <c r="O11" i="47" s="1"/>
  <c r="B13" i="47"/>
  <c r="C13" i="47"/>
  <c r="D13" i="47"/>
  <c r="F13" i="47"/>
  <c r="G13" i="47"/>
  <c r="H13" i="47"/>
  <c r="I13" i="47"/>
  <c r="J13" i="47"/>
  <c r="K13" i="47"/>
  <c r="L13" i="47"/>
  <c r="M13" i="47"/>
  <c r="N13" i="47"/>
  <c r="P13" i="47"/>
  <c r="Q13" i="47"/>
  <c r="R13" i="47"/>
  <c r="S13" i="47"/>
  <c r="T13" i="47"/>
  <c r="O14" i="47"/>
  <c r="E15" i="47"/>
  <c r="E13" i="47" s="1"/>
  <c r="O15" i="47"/>
  <c r="O13" i="47" s="1"/>
  <c r="E16" i="47"/>
  <c r="O16" i="47"/>
  <c r="B17" i="47"/>
  <c r="C17" i="47"/>
  <c r="D17" i="47"/>
  <c r="E17" i="47"/>
  <c r="F17" i="47"/>
  <c r="G17" i="47"/>
  <c r="H17" i="47"/>
  <c r="I17" i="47"/>
  <c r="J17" i="47"/>
  <c r="K17" i="47"/>
  <c r="L17" i="47"/>
  <c r="M17" i="47"/>
  <c r="N17" i="47"/>
  <c r="O17" i="47"/>
  <c r="P17" i="47"/>
  <c r="Q17" i="47"/>
  <c r="R17" i="47"/>
  <c r="S17" i="47"/>
  <c r="T17" i="47"/>
  <c r="O18" i="47"/>
  <c r="G19" i="47"/>
  <c r="B20" i="47"/>
  <c r="B19" i="47" s="1"/>
  <c r="C20" i="47"/>
  <c r="D20" i="47"/>
  <c r="D19" i="47" s="1"/>
  <c r="F20" i="47"/>
  <c r="F19" i="47" s="1"/>
  <c r="G20" i="47"/>
  <c r="H20" i="47"/>
  <c r="H19" i="47" s="1"/>
  <c r="I20" i="47"/>
  <c r="I19" i="47" s="1"/>
  <c r="J20" i="47"/>
  <c r="J19" i="47" s="1"/>
  <c r="K20" i="47"/>
  <c r="L20" i="47"/>
  <c r="L19" i="47" s="1"/>
  <c r="M20" i="47"/>
  <c r="N20" i="47"/>
  <c r="N19" i="47" s="1"/>
  <c r="P20" i="47"/>
  <c r="P19" i="47" s="1"/>
  <c r="Q20" i="47"/>
  <c r="Q19" i="47" s="1"/>
  <c r="R20" i="47"/>
  <c r="R19" i="47" s="1"/>
  <c r="S20" i="47"/>
  <c r="T20" i="47"/>
  <c r="T19" i="47" s="1"/>
  <c r="E21" i="47"/>
  <c r="E20" i="47" s="1"/>
  <c r="O21" i="47"/>
  <c r="E22" i="47"/>
  <c r="O22" i="47"/>
  <c r="O20" i="47" s="1"/>
  <c r="O19" i="47" s="1"/>
  <c r="B23" i="47"/>
  <c r="C23" i="47"/>
  <c r="C19" i="47" s="1"/>
  <c r="D23" i="47"/>
  <c r="F23" i="47"/>
  <c r="G23" i="47"/>
  <c r="H23" i="47"/>
  <c r="I23" i="47"/>
  <c r="J23" i="47"/>
  <c r="K23" i="47"/>
  <c r="K19" i="47" s="1"/>
  <c r="L23" i="47"/>
  <c r="M23" i="47"/>
  <c r="M19" i="47" s="1"/>
  <c r="N23" i="47"/>
  <c r="P23" i="47"/>
  <c r="Q23" i="47"/>
  <c r="R23" i="47"/>
  <c r="S23" i="47"/>
  <c r="S19" i="47" s="1"/>
  <c r="T23" i="47"/>
  <c r="E24" i="47"/>
  <c r="E23" i="47" s="1"/>
  <c r="O24" i="47"/>
  <c r="O23" i="47" s="1"/>
  <c r="B25" i="47"/>
  <c r="C25" i="47"/>
  <c r="D25" i="47"/>
  <c r="F25" i="47"/>
  <c r="G25" i="47"/>
  <c r="H25" i="47"/>
  <c r="I25" i="47"/>
  <c r="J25" i="47"/>
  <c r="K25" i="47"/>
  <c r="L25" i="47"/>
  <c r="M25" i="47"/>
  <c r="N25" i="47"/>
  <c r="P25" i="47"/>
  <c r="Q25" i="47"/>
  <c r="R25" i="47"/>
  <c r="S25" i="47"/>
  <c r="T25" i="47"/>
  <c r="E26" i="47"/>
  <c r="E25" i="47" s="1"/>
  <c r="O26" i="47"/>
  <c r="O25" i="47" s="1"/>
  <c r="B27" i="47"/>
  <c r="C27" i="47"/>
  <c r="D27" i="47"/>
  <c r="F27" i="47"/>
  <c r="G27" i="47"/>
  <c r="H27" i="47"/>
  <c r="I27" i="47"/>
  <c r="J27" i="47"/>
  <c r="K27" i="47"/>
  <c r="L27" i="47"/>
  <c r="M27" i="47"/>
  <c r="N27" i="47"/>
  <c r="O27" i="47"/>
  <c r="P27" i="47"/>
  <c r="Q27" i="47"/>
  <c r="R27" i="47"/>
  <c r="S27" i="47"/>
  <c r="T27" i="47"/>
  <c r="E28" i="47"/>
  <c r="E27" i="47" s="1"/>
  <c r="O28" i="47"/>
  <c r="E29" i="47"/>
  <c r="O29" i="47"/>
  <c r="B30" i="47"/>
  <c r="C30" i="47"/>
  <c r="D30" i="47"/>
  <c r="F30" i="47"/>
  <c r="G30" i="47"/>
  <c r="H30" i="47"/>
  <c r="I30" i="47"/>
  <c r="J30" i="47"/>
  <c r="K30" i="47"/>
  <c r="L30" i="47"/>
  <c r="M30" i="47"/>
  <c r="N30" i="47"/>
  <c r="P30" i="47"/>
  <c r="Q30" i="47"/>
  <c r="R30" i="47"/>
  <c r="S30" i="47"/>
  <c r="T30" i="47"/>
  <c r="E31" i="47"/>
  <c r="E30" i="47" s="1"/>
  <c r="O31" i="47"/>
  <c r="O30" i="47" s="1"/>
  <c r="B33" i="47"/>
  <c r="B32" i="47" s="1"/>
  <c r="C33" i="47"/>
  <c r="D33" i="47"/>
  <c r="D32" i="47" s="1"/>
  <c r="F33" i="47"/>
  <c r="F32" i="47" s="1"/>
  <c r="G33" i="47"/>
  <c r="H33" i="47"/>
  <c r="H32" i="47" s="1"/>
  <c r="I33" i="47"/>
  <c r="I32" i="47" s="1"/>
  <c r="J33" i="47"/>
  <c r="J32" i="47" s="1"/>
  <c r="K33" i="47"/>
  <c r="L33" i="47"/>
  <c r="L32" i="47" s="1"/>
  <c r="M33" i="47"/>
  <c r="N33" i="47"/>
  <c r="N32" i="47" s="1"/>
  <c r="P33" i="47"/>
  <c r="P32" i="47" s="1"/>
  <c r="Q33" i="47"/>
  <c r="Q32" i="47" s="1"/>
  <c r="R33" i="47"/>
  <c r="R32" i="47" s="1"/>
  <c r="S33" i="47"/>
  <c r="T33" i="47"/>
  <c r="T32" i="47" s="1"/>
  <c r="E34" i="47"/>
  <c r="E33" i="47" s="1"/>
  <c r="O34" i="47"/>
  <c r="O33" i="47" s="1"/>
  <c r="O32" i="47" s="1"/>
  <c r="B35" i="47"/>
  <c r="C35" i="47"/>
  <c r="C32" i="47" s="1"/>
  <c r="D35" i="47"/>
  <c r="F35" i="47"/>
  <c r="G35" i="47"/>
  <c r="G32" i="47" s="1"/>
  <c r="H35" i="47"/>
  <c r="I35" i="47"/>
  <c r="J35" i="47"/>
  <c r="K35" i="47"/>
  <c r="K32" i="47" s="1"/>
  <c r="L35" i="47"/>
  <c r="M35" i="47"/>
  <c r="M32" i="47" s="1"/>
  <c r="N35" i="47"/>
  <c r="O35" i="47"/>
  <c r="P35" i="47"/>
  <c r="Q35" i="47"/>
  <c r="R35" i="47"/>
  <c r="S35" i="47"/>
  <c r="S32" i="47" s="1"/>
  <c r="T35" i="47"/>
  <c r="E36" i="47"/>
  <c r="E35" i="47" s="1"/>
  <c r="O36" i="47"/>
  <c r="E37" i="47"/>
  <c r="O37" i="47"/>
  <c r="E38" i="47"/>
  <c r="O38" i="47"/>
  <c r="E39" i="47"/>
  <c r="O39" i="47"/>
  <c r="E40" i="47"/>
  <c r="O40" i="47"/>
  <c r="E41" i="47"/>
  <c r="O41" i="47"/>
  <c r="E42" i="47"/>
  <c r="O42" i="47"/>
  <c r="E43" i="47"/>
  <c r="O43" i="47"/>
  <c r="M5" i="46"/>
  <c r="E5" i="46" s="1"/>
  <c r="B6" i="46"/>
  <c r="B4" i="46" s="1"/>
  <c r="F6" i="46"/>
  <c r="F4" i="46" s="1"/>
  <c r="H6" i="46"/>
  <c r="L6" i="46"/>
  <c r="L4" i="46" s="1"/>
  <c r="D7" i="46"/>
  <c r="D6" i="46" s="1"/>
  <c r="D4" i="46" s="1"/>
  <c r="E7" i="46"/>
  <c r="E6" i="46" s="1"/>
  <c r="I7" i="46"/>
  <c r="I6" i="46" s="1"/>
  <c r="J7" i="46"/>
  <c r="K7" i="46" s="1"/>
  <c r="K6" i="46" s="1"/>
  <c r="M7" i="46"/>
  <c r="G7" i="46" s="1"/>
  <c r="G6" i="46" s="1"/>
  <c r="B8" i="46"/>
  <c r="D8" i="46"/>
  <c r="E8" i="46"/>
  <c r="F8" i="46"/>
  <c r="G8" i="46"/>
  <c r="H8" i="46"/>
  <c r="I8" i="46"/>
  <c r="J8" i="46"/>
  <c r="K8" i="46"/>
  <c r="L8" i="46"/>
  <c r="M8" i="46"/>
  <c r="C9" i="46"/>
  <c r="C8" i="46" s="1"/>
  <c r="B10" i="46"/>
  <c r="C10" i="46"/>
  <c r="D10" i="46"/>
  <c r="E10" i="46"/>
  <c r="F10" i="46"/>
  <c r="G10" i="46"/>
  <c r="H10" i="46"/>
  <c r="I10" i="46"/>
  <c r="J10" i="46"/>
  <c r="K10" i="46"/>
  <c r="L10" i="46"/>
  <c r="M10" i="46"/>
  <c r="B12" i="46"/>
  <c r="D12" i="46"/>
  <c r="F12" i="46"/>
  <c r="H12" i="46"/>
  <c r="J12" i="46"/>
  <c r="L12" i="46"/>
  <c r="M12" i="46"/>
  <c r="E13" i="46"/>
  <c r="E12" i="46" s="1"/>
  <c r="G13" i="46"/>
  <c r="G12" i="46" s="1"/>
  <c r="I13" i="46"/>
  <c r="I12" i="46" s="1"/>
  <c r="K13" i="46"/>
  <c r="K12" i="46" s="1"/>
  <c r="B14" i="46"/>
  <c r="D14" i="46"/>
  <c r="E14" i="46"/>
  <c r="F14" i="46"/>
  <c r="G14" i="46"/>
  <c r="H14" i="46"/>
  <c r="I14" i="46" s="1"/>
  <c r="J14" i="46"/>
  <c r="K14" i="46" s="1"/>
  <c r="L14" i="46"/>
  <c r="M14" i="46"/>
  <c r="B18" i="46"/>
  <c r="D18" i="46"/>
  <c r="E18" i="46"/>
  <c r="F18" i="46"/>
  <c r="G18" i="46"/>
  <c r="H18" i="46"/>
  <c r="I18" i="46"/>
  <c r="J18" i="46"/>
  <c r="K18" i="46"/>
  <c r="L18" i="46"/>
  <c r="M18" i="46"/>
  <c r="J20" i="46"/>
  <c r="B22" i="46"/>
  <c r="B20" i="46" s="1"/>
  <c r="D22" i="46"/>
  <c r="E22" i="46" s="1"/>
  <c r="F22" i="46"/>
  <c r="F20" i="46" s="1"/>
  <c r="G22" i="46"/>
  <c r="H22" i="46"/>
  <c r="H20" i="46" s="1"/>
  <c r="J22" i="46"/>
  <c r="K22" i="46" s="1"/>
  <c r="L22" i="46"/>
  <c r="L20" i="46" s="1"/>
  <c r="M22" i="46"/>
  <c r="M20" i="46" s="1"/>
  <c r="B27" i="46"/>
  <c r="D27" i="46"/>
  <c r="E27" i="46" s="1"/>
  <c r="F27" i="46"/>
  <c r="H27" i="46"/>
  <c r="I27" i="46"/>
  <c r="J27" i="46"/>
  <c r="K27" i="46"/>
  <c r="L27" i="46"/>
  <c r="M27" i="46"/>
  <c r="G27" i="46" s="1"/>
  <c r="B30" i="46"/>
  <c r="D30" i="46"/>
  <c r="E30" i="46"/>
  <c r="F30" i="46"/>
  <c r="G30" i="46"/>
  <c r="H30" i="46"/>
  <c r="I30" i="46"/>
  <c r="J30" i="46"/>
  <c r="K30" i="46"/>
  <c r="L30" i="46"/>
  <c r="M30" i="46"/>
  <c r="B32" i="46"/>
  <c r="D32" i="46"/>
  <c r="F32" i="46"/>
  <c r="G32" i="46" s="1"/>
  <c r="H32" i="46"/>
  <c r="J32" i="46"/>
  <c r="L32" i="46"/>
  <c r="M32" i="46"/>
  <c r="E32" i="46" s="1"/>
  <c r="B36" i="46"/>
  <c r="D36" i="46"/>
  <c r="E36" i="46"/>
  <c r="F36" i="46"/>
  <c r="H36" i="46"/>
  <c r="I36" i="46"/>
  <c r="J36" i="46"/>
  <c r="L36" i="46"/>
  <c r="M36" i="46"/>
  <c r="B39" i="46"/>
  <c r="C39" i="46"/>
  <c r="D39" i="46"/>
  <c r="F39" i="46"/>
  <c r="H39" i="46"/>
  <c r="I39" i="46"/>
  <c r="J39" i="46"/>
  <c r="J38" i="46" s="1"/>
  <c r="K39" i="46"/>
  <c r="L39" i="46"/>
  <c r="L38" i="46" s="1"/>
  <c r="M39" i="46"/>
  <c r="E40" i="46"/>
  <c r="E39" i="46" s="1"/>
  <c r="J41" i="46"/>
  <c r="B45" i="46"/>
  <c r="B41" i="46" s="1"/>
  <c r="D45" i="46"/>
  <c r="F45" i="46"/>
  <c r="F41" i="46" s="1"/>
  <c r="H45" i="46"/>
  <c r="H41" i="46" s="1"/>
  <c r="J45" i="46"/>
  <c r="L45" i="46"/>
  <c r="L41" i="46" s="1"/>
  <c r="E52" i="46"/>
  <c r="I52" i="46"/>
  <c r="M52" i="46"/>
  <c r="M45" i="46" s="1"/>
  <c r="BG4" i="36"/>
  <c r="L57" i="40"/>
  <c r="L23" i="40"/>
  <c r="L14" i="40"/>
  <c r="L12" i="40"/>
  <c r="L20" i="40"/>
  <c r="L10" i="40"/>
  <c r="L50" i="40"/>
  <c r="E3" i="40"/>
  <c r="BG9" i="36"/>
  <c r="X16" i="36"/>
  <c r="AJ9" i="36"/>
  <c r="L9" i="36"/>
  <c r="L40" i="40"/>
  <c r="E18" i="40"/>
  <c r="E17" i="40"/>
  <c r="E16" i="40"/>
  <c r="E14" i="40"/>
  <c r="E12" i="40"/>
  <c r="E10" i="40"/>
  <c r="E7" i="40"/>
  <c r="E20" i="40"/>
  <c r="E23" i="40"/>
  <c r="E26" i="40"/>
  <c r="E28" i="40"/>
  <c r="E29" i="40"/>
  <c r="E40" i="40"/>
  <c r="E34" i="40"/>
  <c r="E31" i="40"/>
  <c r="E51" i="40"/>
  <c r="E52" i="40"/>
  <c r="E53" i="40"/>
  <c r="E54" i="40"/>
  <c r="E55" i="40"/>
  <c r="E56" i="40"/>
  <c r="E57" i="40"/>
  <c r="E58" i="40"/>
  <c r="E59" i="40"/>
  <c r="E50" i="40"/>
  <c r="J23" i="48" l="1"/>
  <c r="AF24" i="48"/>
  <c r="AF23" i="48" s="1"/>
  <c r="AG24" i="48"/>
  <c r="AG23" i="48" s="1"/>
  <c r="AF19" i="48"/>
  <c r="AF33" i="48"/>
  <c r="AG21" i="48"/>
  <c r="AG20" i="48" s="1"/>
  <c r="J20" i="48"/>
  <c r="AF4" i="48"/>
  <c r="AF3" i="48" s="1"/>
  <c r="AG14" i="48"/>
  <c r="AG13" i="48" s="1"/>
  <c r="J37" i="48"/>
  <c r="AF38" i="48"/>
  <c r="AF37" i="48" s="1"/>
  <c r="J33" i="48"/>
  <c r="AF14" i="48"/>
  <c r="AF13" i="48" s="1"/>
  <c r="J7" i="48"/>
  <c r="AF8" i="48"/>
  <c r="AF7" i="48" s="1"/>
  <c r="AG29" i="48"/>
  <c r="AG28" i="48" s="1"/>
  <c r="J28" i="48"/>
  <c r="AG5" i="48"/>
  <c r="K18" i="37"/>
  <c r="N18" i="37"/>
  <c r="L2" i="37"/>
  <c r="M3" i="37"/>
  <c r="J3" i="37"/>
  <c r="F3" i="37"/>
  <c r="K3" i="37"/>
  <c r="K2" i="37" s="1"/>
  <c r="C49" i="37"/>
  <c r="C39" i="37" s="1"/>
  <c r="D39" i="37"/>
  <c r="C18" i="37"/>
  <c r="B3" i="37"/>
  <c r="D3" i="37"/>
  <c r="M18" i="37"/>
  <c r="F18" i="37"/>
  <c r="N3" i="37"/>
  <c r="N2" i="37" s="1"/>
  <c r="J18" i="37"/>
  <c r="D18" i="37"/>
  <c r="G3" i="37"/>
  <c r="B18" i="37"/>
  <c r="B32" i="37"/>
  <c r="G18" i="37"/>
  <c r="H18" i="37"/>
  <c r="C3" i="37"/>
  <c r="H3" i="37"/>
  <c r="D3" i="47"/>
  <c r="I3" i="47"/>
  <c r="T3" i="47"/>
  <c r="E19" i="47"/>
  <c r="L3" i="47"/>
  <c r="Q3" i="47"/>
  <c r="G3" i="47"/>
  <c r="S3" i="47"/>
  <c r="R3" i="47"/>
  <c r="M3" i="47"/>
  <c r="E4" i="47"/>
  <c r="P3" i="47"/>
  <c r="C3" i="47"/>
  <c r="E32" i="47"/>
  <c r="N3" i="47"/>
  <c r="F3" i="47"/>
  <c r="H3" i="47"/>
  <c r="K3" i="47"/>
  <c r="B3" i="47"/>
  <c r="O6" i="47"/>
  <c r="O5" i="47" s="1"/>
  <c r="O4" i="47" s="1"/>
  <c r="O3" i="47" s="1"/>
  <c r="K20" i="46"/>
  <c r="B3" i="46"/>
  <c r="K41" i="46"/>
  <c r="I20" i="46"/>
  <c r="H38" i="46"/>
  <c r="G41" i="46"/>
  <c r="F38" i="46"/>
  <c r="F3" i="46" s="1"/>
  <c r="G20" i="46"/>
  <c r="L3" i="46"/>
  <c r="I45" i="46"/>
  <c r="G45" i="46"/>
  <c r="M41" i="46"/>
  <c r="M38" i="46" s="1"/>
  <c r="K38" i="46" s="1"/>
  <c r="K45" i="46"/>
  <c r="B38" i="46"/>
  <c r="E45" i="46"/>
  <c r="H4" i="46"/>
  <c r="I32" i="46"/>
  <c r="M6" i="46"/>
  <c r="M4" i="46" s="1"/>
  <c r="D41" i="46"/>
  <c r="E41" i="46" s="1"/>
  <c r="I22" i="46"/>
  <c r="D20" i="46"/>
  <c r="E20" i="46" s="1"/>
  <c r="J6" i="46"/>
  <c r="J4" i="46" s="1"/>
  <c r="K32" i="46"/>
  <c r="K5" i="46"/>
  <c r="E49" i="40"/>
  <c r="E6" i="40"/>
  <c r="AG3" i="48" l="1"/>
  <c r="J19" i="48"/>
  <c r="F2" i="37"/>
  <c r="H2" i="37"/>
  <c r="M2" i="37"/>
  <c r="J2" i="37"/>
  <c r="G2" i="37"/>
  <c r="C2" i="37"/>
  <c r="D2" i="37"/>
  <c r="B2" i="37"/>
  <c r="E3" i="47"/>
  <c r="M3" i="46"/>
  <c r="C3" i="46" s="1"/>
  <c r="E4" i="46"/>
  <c r="G4" i="46"/>
  <c r="C4" i="46"/>
  <c r="I4" i="46"/>
  <c r="H3" i="46"/>
  <c r="I3" i="46" s="1"/>
  <c r="I38" i="46"/>
  <c r="J3" i="46"/>
  <c r="K3" i="46" s="1"/>
  <c r="K4" i="46"/>
  <c r="I41" i="46"/>
  <c r="G38" i="46"/>
  <c r="C38" i="46"/>
  <c r="D38" i="46"/>
  <c r="AT50" i="36"/>
  <c r="L59" i="40"/>
  <c r="BM55" i="36"/>
  <c r="BN55" i="36"/>
  <c r="BL55" i="36"/>
  <c r="L55" i="40"/>
  <c r="BM53" i="36"/>
  <c r="BN53" i="36"/>
  <c r="BL53" i="36"/>
  <c r="L53" i="40"/>
  <c r="BM54" i="36"/>
  <c r="BN54" i="36"/>
  <c r="BL54" i="36"/>
  <c r="L54" i="40"/>
  <c r="BM56" i="36"/>
  <c r="BN56" i="36"/>
  <c r="BL56" i="36"/>
  <c r="BM52" i="36"/>
  <c r="BN52" i="36"/>
  <c r="BL52" i="36"/>
  <c r="L52" i="40"/>
  <c r="BM51" i="36"/>
  <c r="BN51" i="36"/>
  <c r="BL51" i="36"/>
  <c r="BM35" i="36"/>
  <c r="BN35" i="36"/>
  <c r="BL35" i="36"/>
  <c r="L34" i="40"/>
  <c r="G3" i="46" l="1"/>
  <c r="E38" i="46"/>
  <c r="D3" i="46"/>
  <c r="E3" i="46" s="1"/>
  <c r="BM32" i="36"/>
  <c r="BN32" i="36"/>
  <c r="BM30" i="36"/>
  <c r="BN30" i="36"/>
  <c r="BL30" i="36"/>
  <c r="L29" i="40"/>
  <c r="BM29" i="36"/>
  <c r="BN29" i="36"/>
  <c r="BL29" i="36"/>
  <c r="L28" i="40"/>
  <c r="BM27" i="36"/>
  <c r="BN27" i="36"/>
  <c r="BL27" i="36"/>
  <c r="L26" i="40"/>
  <c r="BD57" i="36"/>
  <c r="BD58" i="36"/>
  <c r="BM25" i="36"/>
  <c r="BN25" i="36"/>
  <c r="BL25" i="36"/>
  <c r="M51" i="40"/>
  <c r="M52" i="40"/>
  <c r="M53" i="40"/>
  <c r="M54" i="40"/>
  <c r="M55" i="40"/>
  <c r="M57" i="40"/>
  <c r="M58" i="40"/>
  <c r="M59" i="40"/>
  <c r="M50" i="40"/>
  <c r="M40" i="40"/>
  <c r="M34" i="40"/>
  <c r="M31" i="40"/>
  <c r="M29" i="40"/>
  <c r="M28" i="40"/>
  <c r="M26" i="40"/>
  <c r="M23" i="40"/>
  <c r="BM18" i="36" l="1"/>
  <c r="BN18" i="36"/>
  <c r="BL18" i="36"/>
  <c r="BN22" i="36"/>
  <c r="D5" i="40"/>
  <c r="BM22" i="36"/>
  <c r="BL22" i="36"/>
  <c r="BM16" i="36"/>
  <c r="BN16" i="36"/>
  <c r="BL16" i="36"/>
  <c r="M14" i="40"/>
  <c r="BM14" i="36"/>
  <c r="BN14" i="36"/>
  <c r="BL14" i="36"/>
  <c r="M20" i="40"/>
  <c r="M18" i="40"/>
  <c r="M17" i="40"/>
  <c r="M16" i="40"/>
  <c r="M12" i="40"/>
  <c r="M10" i="40"/>
  <c r="BM12" i="36"/>
  <c r="BN12" i="36"/>
  <c r="BL12" i="36"/>
  <c r="BE9" i="36"/>
  <c r="AV9" i="36"/>
  <c r="AU9" i="36"/>
  <c r="AT9" i="36"/>
  <c r="Z9" i="36"/>
  <c r="Y9" i="36"/>
  <c r="BM10" i="36"/>
  <c r="BN10" i="36"/>
  <c r="BL10" i="36"/>
  <c r="BM9" i="36"/>
  <c r="BN9" i="36"/>
  <c r="BL9" i="36"/>
  <c r="S7" i="40"/>
  <c r="Q7" i="40"/>
  <c r="M7" i="40"/>
  <c r="L7" i="40"/>
  <c r="B7" i="40"/>
  <c r="BM20" i="36"/>
  <c r="BN20" i="36"/>
  <c r="BL20" i="36"/>
  <c r="L18" i="40"/>
  <c r="BM19" i="36"/>
  <c r="BN19" i="36"/>
  <c r="BL19" i="36"/>
  <c r="E4" i="37" l="1"/>
  <c r="E3" i="37" l="1"/>
  <c r="E39" i="37" l="1"/>
  <c r="I54" i="37"/>
  <c r="I55" i="37"/>
  <c r="I53" i="37"/>
  <c r="I51" i="37"/>
  <c r="I50" i="37"/>
  <c r="I49" i="37"/>
  <c r="I39" i="37"/>
  <c r="I34" i="37"/>
  <c r="I33" i="37"/>
  <c r="I32" i="37"/>
  <c r="I25" i="37"/>
  <c r="I26" i="37"/>
  <c r="I20" i="37"/>
  <c r="I19" i="37"/>
  <c r="I18" i="37"/>
  <c r="I16" i="37"/>
  <c r="I17" i="37"/>
  <c r="I15" i="37"/>
  <c r="I14" i="37"/>
  <c r="I13" i="37"/>
  <c r="I12" i="37"/>
  <c r="I11" i="37"/>
  <c r="I10" i="37"/>
  <c r="I9" i="37"/>
  <c r="I8" i="37"/>
  <c r="I7" i="37"/>
  <c r="I6" i="37"/>
  <c r="I4" i="37"/>
  <c r="I3" i="37"/>
  <c r="I2" i="37"/>
  <c r="I5" i="37"/>
  <c r="E32" i="37" l="1"/>
  <c r="E2" i="37" s="1"/>
  <c r="C9" i="43"/>
  <c r="D9" i="43"/>
  <c r="F9" i="43"/>
  <c r="G9" i="43"/>
  <c r="H9" i="43"/>
  <c r="I9" i="43"/>
  <c r="L9" i="43"/>
  <c r="M9" i="43"/>
  <c r="N9" i="43"/>
  <c r="O9" i="43"/>
  <c r="P9" i="43"/>
  <c r="Q9" i="43"/>
  <c r="R9" i="43"/>
  <c r="S9" i="43"/>
  <c r="T9" i="43"/>
  <c r="W9" i="43"/>
  <c r="Y9" i="43"/>
  <c r="Z9" i="43"/>
  <c r="AA9" i="43"/>
  <c r="AB9" i="43"/>
  <c r="AC9" i="43"/>
  <c r="AD9" i="43"/>
  <c r="AE9" i="43"/>
  <c r="AF9" i="43"/>
  <c r="AG9" i="43"/>
  <c r="AJ9" i="43"/>
  <c r="AK9" i="43"/>
  <c r="AL9" i="43"/>
  <c r="AM9" i="43"/>
  <c r="AN9" i="43"/>
  <c r="AO9" i="43"/>
  <c r="AP9" i="43"/>
  <c r="AQ9" i="43"/>
  <c r="AR9" i="43"/>
  <c r="AT9" i="43"/>
  <c r="AU9" i="43"/>
  <c r="AV9" i="43"/>
  <c r="AX9" i="43"/>
  <c r="AY9" i="43"/>
  <c r="AZ9" i="43"/>
  <c r="BE9" i="43"/>
  <c r="BF9" i="43"/>
  <c r="C10" i="43"/>
  <c r="D10" i="43"/>
  <c r="E10" i="43"/>
  <c r="F10" i="43"/>
  <c r="G10" i="43"/>
  <c r="H10" i="43"/>
  <c r="I10" i="43"/>
  <c r="L10" i="43"/>
  <c r="M10" i="43"/>
  <c r="N10" i="43"/>
  <c r="O10" i="43"/>
  <c r="P10" i="43"/>
  <c r="Q10" i="43"/>
  <c r="R10" i="43"/>
  <c r="S10" i="43"/>
  <c r="T10" i="43"/>
  <c r="W10" i="43"/>
  <c r="X10" i="43"/>
  <c r="Y10" i="43"/>
  <c r="Z10" i="43"/>
  <c r="AA10" i="43"/>
  <c r="AB10" i="43"/>
  <c r="AC10" i="43"/>
  <c r="AD10" i="43"/>
  <c r="AE10" i="43"/>
  <c r="AF10" i="43"/>
  <c r="AG10" i="43"/>
  <c r="AJ10" i="43"/>
  <c r="AK10" i="43"/>
  <c r="AL10" i="43"/>
  <c r="AM10" i="43"/>
  <c r="AN10" i="43"/>
  <c r="AO10" i="43"/>
  <c r="AP10" i="43"/>
  <c r="AQ10" i="43"/>
  <c r="AR10" i="43"/>
  <c r="AS10" i="43"/>
  <c r="AT10" i="43"/>
  <c r="AU10" i="43"/>
  <c r="AV10" i="43"/>
  <c r="AW10" i="43"/>
  <c r="AX10" i="43"/>
  <c r="AY10" i="43"/>
  <c r="AZ10" i="43"/>
  <c r="BD10" i="43"/>
  <c r="BE10" i="43"/>
  <c r="BF10" i="43"/>
  <c r="B10" i="43"/>
  <c r="C12" i="43"/>
  <c r="D12" i="43"/>
  <c r="E12" i="43"/>
  <c r="F12" i="43"/>
  <c r="G12" i="43"/>
  <c r="H12" i="43"/>
  <c r="I12" i="43"/>
  <c r="L12" i="43"/>
  <c r="M12" i="43"/>
  <c r="N12" i="43"/>
  <c r="O12" i="43"/>
  <c r="P12" i="43"/>
  <c r="Q12" i="43"/>
  <c r="R12" i="43"/>
  <c r="S12" i="43"/>
  <c r="T12" i="43"/>
  <c r="W12" i="43"/>
  <c r="Y12" i="43"/>
  <c r="Z12" i="43"/>
  <c r="AA12" i="43"/>
  <c r="AB12" i="43"/>
  <c r="AC12" i="43"/>
  <c r="AD12" i="43"/>
  <c r="AE12" i="43"/>
  <c r="AF12" i="43"/>
  <c r="AG12" i="43"/>
  <c r="AJ12" i="43"/>
  <c r="AK12" i="43"/>
  <c r="AL12" i="43"/>
  <c r="AM12" i="43"/>
  <c r="AN12" i="43"/>
  <c r="AO12" i="43"/>
  <c r="AP12" i="43"/>
  <c r="AQ12" i="43"/>
  <c r="AR12" i="43"/>
  <c r="AT12" i="43"/>
  <c r="AU12" i="43"/>
  <c r="AV12" i="43"/>
  <c r="AX12" i="43"/>
  <c r="AY12" i="43"/>
  <c r="AZ12" i="43"/>
  <c r="BE12" i="43"/>
  <c r="BF12" i="43"/>
  <c r="C14" i="43"/>
  <c r="D14" i="43"/>
  <c r="E14" i="43"/>
  <c r="F14" i="43"/>
  <c r="G14" i="43"/>
  <c r="H14" i="43"/>
  <c r="I14" i="43"/>
  <c r="L14" i="43"/>
  <c r="M14" i="43"/>
  <c r="N14" i="43"/>
  <c r="O14" i="43"/>
  <c r="P14" i="43"/>
  <c r="Q14" i="43"/>
  <c r="R14" i="43"/>
  <c r="S14" i="43"/>
  <c r="T14" i="43"/>
  <c r="W14" i="43"/>
  <c r="Y14" i="43"/>
  <c r="Z14" i="43"/>
  <c r="AA14" i="43"/>
  <c r="AB14" i="43"/>
  <c r="AC14" i="43"/>
  <c r="AD14" i="43"/>
  <c r="AE14" i="43"/>
  <c r="AF14" i="43"/>
  <c r="AG14" i="43"/>
  <c r="AJ14" i="43"/>
  <c r="AK14" i="43"/>
  <c r="AL14" i="43"/>
  <c r="AM14" i="43"/>
  <c r="AN14" i="43"/>
  <c r="AO14" i="43"/>
  <c r="AP14" i="43"/>
  <c r="AQ14" i="43"/>
  <c r="AR14" i="43"/>
  <c r="AT14" i="43"/>
  <c r="AU14" i="43"/>
  <c r="AV14" i="43"/>
  <c r="AX14" i="43"/>
  <c r="AY14" i="43"/>
  <c r="AZ14" i="43"/>
  <c r="BE14" i="43"/>
  <c r="BF14" i="43"/>
  <c r="C16" i="43"/>
  <c r="D16" i="43"/>
  <c r="E16" i="43"/>
  <c r="F16" i="43"/>
  <c r="G16" i="43"/>
  <c r="H16" i="43"/>
  <c r="I16" i="43"/>
  <c r="L16" i="43"/>
  <c r="M16" i="43"/>
  <c r="N16" i="43"/>
  <c r="O16" i="43"/>
  <c r="P16" i="43"/>
  <c r="Q16" i="43"/>
  <c r="R16" i="43"/>
  <c r="S16" i="43"/>
  <c r="T16" i="43"/>
  <c r="W16" i="43"/>
  <c r="Y16" i="43"/>
  <c r="Z16" i="43"/>
  <c r="AA16" i="43"/>
  <c r="AB16" i="43"/>
  <c r="AC16" i="43"/>
  <c r="AD16" i="43"/>
  <c r="AE16" i="43"/>
  <c r="AF16" i="43"/>
  <c r="AG16" i="43"/>
  <c r="AJ16" i="43"/>
  <c r="AK16" i="43"/>
  <c r="AL16" i="43"/>
  <c r="AM16" i="43"/>
  <c r="AN16" i="43"/>
  <c r="AO16" i="43"/>
  <c r="AP16" i="43"/>
  <c r="AQ16" i="43"/>
  <c r="AR16" i="43"/>
  <c r="AT16" i="43"/>
  <c r="AU16" i="43"/>
  <c r="AV16" i="43"/>
  <c r="AX16" i="43"/>
  <c r="AY16" i="43"/>
  <c r="AZ16" i="43"/>
  <c r="BE16" i="43"/>
  <c r="BF16" i="43"/>
  <c r="C18" i="43"/>
  <c r="D18" i="43"/>
  <c r="E18" i="43"/>
  <c r="F18" i="43"/>
  <c r="G18" i="43"/>
  <c r="H18" i="43"/>
  <c r="I18" i="43"/>
  <c r="L18" i="43"/>
  <c r="M18" i="43"/>
  <c r="N18" i="43"/>
  <c r="O18" i="43"/>
  <c r="P18" i="43"/>
  <c r="Q18" i="43"/>
  <c r="R18" i="43"/>
  <c r="S18" i="43"/>
  <c r="T18" i="43"/>
  <c r="W18" i="43"/>
  <c r="Y18" i="43"/>
  <c r="Z18" i="43"/>
  <c r="AA18" i="43"/>
  <c r="AB18" i="43"/>
  <c r="AC18" i="43"/>
  <c r="AD18" i="43"/>
  <c r="AE18" i="43"/>
  <c r="AF18" i="43"/>
  <c r="AG18" i="43"/>
  <c r="AJ18" i="43"/>
  <c r="AK18" i="43"/>
  <c r="AL18" i="43"/>
  <c r="AM18" i="43"/>
  <c r="AN18" i="43"/>
  <c r="AO18" i="43"/>
  <c r="AP18" i="43"/>
  <c r="AQ18" i="43"/>
  <c r="AR18" i="43"/>
  <c r="AT18" i="43"/>
  <c r="AU18" i="43"/>
  <c r="AV18" i="43"/>
  <c r="AX18" i="43"/>
  <c r="AY18" i="43"/>
  <c r="AZ18" i="43"/>
  <c r="BE18" i="43"/>
  <c r="BF18" i="43"/>
  <c r="C19" i="43"/>
  <c r="D19" i="43"/>
  <c r="E19" i="43"/>
  <c r="F19" i="43"/>
  <c r="G19" i="43"/>
  <c r="H19" i="43"/>
  <c r="I19" i="43"/>
  <c r="L19" i="43"/>
  <c r="M19" i="43"/>
  <c r="N19" i="43"/>
  <c r="O19" i="43"/>
  <c r="P19" i="43"/>
  <c r="Q19" i="43"/>
  <c r="R19" i="43"/>
  <c r="S19" i="43"/>
  <c r="T19" i="43"/>
  <c r="W19" i="43"/>
  <c r="Y19" i="43"/>
  <c r="Z19" i="43"/>
  <c r="AA19" i="43"/>
  <c r="AB19" i="43"/>
  <c r="AC19" i="43"/>
  <c r="AD19" i="43"/>
  <c r="AE19" i="43"/>
  <c r="AF19" i="43"/>
  <c r="AG19" i="43"/>
  <c r="AJ19" i="43"/>
  <c r="AK19" i="43"/>
  <c r="AL19" i="43"/>
  <c r="AM19" i="43"/>
  <c r="AN19" i="43"/>
  <c r="AO19" i="43"/>
  <c r="AP19" i="43"/>
  <c r="AQ19" i="43"/>
  <c r="AR19" i="43"/>
  <c r="AT19" i="43"/>
  <c r="AU19" i="43"/>
  <c r="AV19" i="43"/>
  <c r="AX19" i="43"/>
  <c r="AY19" i="43"/>
  <c r="AZ19" i="43"/>
  <c r="BE19" i="43"/>
  <c r="BF19" i="43"/>
  <c r="C20" i="43"/>
  <c r="D20" i="43"/>
  <c r="E20" i="43"/>
  <c r="F20" i="43"/>
  <c r="G20" i="43"/>
  <c r="H20" i="43"/>
  <c r="I20" i="43"/>
  <c r="L20" i="43"/>
  <c r="M20" i="43"/>
  <c r="N20" i="43"/>
  <c r="O20" i="43"/>
  <c r="P20" i="43"/>
  <c r="Q20" i="43"/>
  <c r="R20" i="43"/>
  <c r="S20" i="43"/>
  <c r="T20" i="43"/>
  <c r="W20" i="43"/>
  <c r="Y20" i="43"/>
  <c r="Z20" i="43"/>
  <c r="AA20" i="43"/>
  <c r="AB20" i="43"/>
  <c r="AC20" i="43"/>
  <c r="AD20" i="43"/>
  <c r="AE20" i="43"/>
  <c r="AF20" i="43"/>
  <c r="AG20" i="43"/>
  <c r="AJ20" i="43"/>
  <c r="AK20" i="43"/>
  <c r="AL20" i="43"/>
  <c r="AM20" i="43"/>
  <c r="AN20" i="43"/>
  <c r="AO20" i="43"/>
  <c r="AP20" i="43"/>
  <c r="AQ20" i="43"/>
  <c r="AR20" i="43"/>
  <c r="AT20" i="43"/>
  <c r="AU20" i="43"/>
  <c r="AV20" i="43"/>
  <c r="AX20" i="43"/>
  <c r="AY20" i="43"/>
  <c r="AZ20" i="43"/>
  <c r="BE20" i="43"/>
  <c r="BF20" i="43"/>
  <c r="C22" i="43"/>
  <c r="D22" i="43"/>
  <c r="E22" i="43"/>
  <c r="F22" i="43"/>
  <c r="G22" i="43"/>
  <c r="H22" i="43"/>
  <c r="I22" i="43"/>
  <c r="L22" i="43"/>
  <c r="M22" i="43"/>
  <c r="N22" i="43"/>
  <c r="O22" i="43"/>
  <c r="P22" i="43"/>
  <c r="Q22" i="43"/>
  <c r="R22" i="43"/>
  <c r="S22" i="43"/>
  <c r="T22" i="43"/>
  <c r="W22" i="43"/>
  <c r="Y22" i="43"/>
  <c r="Z22" i="43"/>
  <c r="AA22" i="43"/>
  <c r="AB22" i="43"/>
  <c r="AC22" i="43"/>
  <c r="AD22" i="43"/>
  <c r="AE22" i="43"/>
  <c r="AF22" i="43"/>
  <c r="AG22" i="43"/>
  <c r="AJ22" i="43"/>
  <c r="AK22" i="43"/>
  <c r="AL22" i="43"/>
  <c r="AM22" i="43"/>
  <c r="AN22" i="43"/>
  <c r="AO22" i="43"/>
  <c r="AP22" i="43"/>
  <c r="AQ22" i="43"/>
  <c r="AR22" i="43"/>
  <c r="AT22" i="43"/>
  <c r="AU22" i="43"/>
  <c r="AV22" i="43"/>
  <c r="AX22" i="43"/>
  <c r="AY22" i="43"/>
  <c r="AZ22" i="43"/>
  <c r="BE22" i="43"/>
  <c r="BF22" i="43"/>
  <c r="C25" i="43"/>
  <c r="D25" i="43"/>
  <c r="E25" i="43"/>
  <c r="F25" i="43"/>
  <c r="G25" i="43"/>
  <c r="H25" i="43"/>
  <c r="I25" i="43"/>
  <c r="L25" i="43"/>
  <c r="M25" i="43"/>
  <c r="N25" i="43"/>
  <c r="O25" i="43"/>
  <c r="P25" i="43"/>
  <c r="Q25" i="43"/>
  <c r="R25" i="43"/>
  <c r="S25" i="43"/>
  <c r="T25" i="43"/>
  <c r="W25" i="43"/>
  <c r="Y25" i="43"/>
  <c r="Z25" i="43"/>
  <c r="AA25" i="43"/>
  <c r="AB25" i="43"/>
  <c r="AC25" i="43"/>
  <c r="AD25" i="43"/>
  <c r="AE25" i="43"/>
  <c r="AF25" i="43"/>
  <c r="AG25" i="43"/>
  <c r="AJ25" i="43"/>
  <c r="AK25" i="43"/>
  <c r="AL25" i="43"/>
  <c r="AM25" i="43"/>
  <c r="AN25" i="43"/>
  <c r="AO25" i="43"/>
  <c r="AP25" i="43"/>
  <c r="AQ25" i="43"/>
  <c r="AR25" i="43"/>
  <c r="AT25" i="43"/>
  <c r="AU25" i="43"/>
  <c r="AV25" i="43"/>
  <c r="AX25" i="43"/>
  <c r="AY25" i="43"/>
  <c r="AZ25" i="43"/>
  <c r="BE25" i="43"/>
  <c r="BF25" i="43"/>
  <c r="C27" i="43"/>
  <c r="D27" i="43"/>
  <c r="E27" i="43"/>
  <c r="F27" i="43"/>
  <c r="G27" i="43"/>
  <c r="H27" i="43"/>
  <c r="I27" i="43"/>
  <c r="L27" i="43"/>
  <c r="M27" i="43"/>
  <c r="N27" i="43"/>
  <c r="O27" i="43"/>
  <c r="P27" i="43"/>
  <c r="Q27" i="43"/>
  <c r="R27" i="43"/>
  <c r="S27" i="43"/>
  <c r="T27" i="43"/>
  <c r="W27" i="43"/>
  <c r="Y27" i="43"/>
  <c r="Z27" i="43"/>
  <c r="AA27" i="43"/>
  <c r="AB27" i="43"/>
  <c r="AC27" i="43"/>
  <c r="AD27" i="43"/>
  <c r="AE27" i="43"/>
  <c r="AF27" i="43"/>
  <c r="AG27" i="43"/>
  <c r="AJ27" i="43"/>
  <c r="AK27" i="43"/>
  <c r="AL27" i="43"/>
  <c r="AM27" i="43"/>
  <c r="AN27" i="43"/>
  <c r="AO27" i="43"/>
  <c r="AP27" i="43"/>
  <c r="AQ27" i="43"/>
  <c r="AR27" i="43"/>
  <c r="AT27" i="43"/>
  <c r="AU27" i="43"/>
  <c r="AV27" i="43"/>
  <c r="AX27" i="43"/>
  <c r="AY27" i="43"/>
  <c r="AZ27" i="43"/>
  <c r="BE27" i="43"/>
  <c r="BF27" i="43"/>
  <c r="B29" i="43"/>
  <c r="C29" i="43"/>
  <c r="D29" i="43"/>
  <c r="E29" i="43"/>
  <c r="F29" i="43"/>
  <c r="G29" i="43"/>
  <c r="H29" i="43"/>
  <c r="I29" i="43"/>
  <c r="L29" i="43"/>
  <c r="M29" i="43"/>
  <c r="N29" i="43"/>
  <c r="O29" i="43"/>
  <c r="P29" i="43"/>
  <c r="Q29" i="43"/>
  <c r="R29" i="43"/>
  <c r="S29" i="43"/>
  <c r="T29" i="43"/>
  <c r="W29" i="43"/>
  <c r="Y29" i="43"/>
  <c r="Z29" i="43"/>
  <c r="AA29" i="43"/>
  <c r="AB29" i="43"/>
  <c r="AC29" i="43"/>
  <c r="AD29" i="43"/>
  <c r="AE29" i="43"/>
  <c r="AF29" i="43"/>
  <c r="AG29" i="43"/>
  <c r="AJ29" i="43"/>
  <c r="AK29" i="43"/>
  <c r="AL29" i="43"/>
  <c r="AM29" i="43"/>
  <c r="AN29" i="43"/>
  <c r="AO29" i="43"/>
  <c r="AP29" i="43"/>
  <c r="AQ29" i="43"/>
  <c r="AR29" i="43"/>
  <c r="AT29" i="43"/>
  <c r="AU29" i="43"/>
  <c r="AV29" i="43"/>
  <c r="AX29" i="43"/>
  <c r="AY29" i="43"/>
  <c r="AZ29" i="43"/>
  <c r="BE29" i="43"/>
  <c r="BF29" i="43"/>
  <c r="C30" i="43"/>
  <c r="E30" i="43"/>
  <c r="F30" i="43"/>
  <c r="G30" i="43"/>
  <c r="H30" i="43"/>
  <c r="I30" i="43"/>
  <c r="L30" i="43"/>
  <c r="M30" i="43"/>
  <c r="N30" i="43"/>
  <c r="O30" i="43"/>
  <c r="P30" i="43"/>
  <c r="Q30" i="43"/>
  <c r="R30" i="43"/>
  <c r="S30" i="43"/>
  <c r="T30" i="43"/>
  <c r="W30" i="43"/>
  <c r="Y30" i="43"/>
  <c r="Z30" i="43"/>
  <c r="AA30" i="43"/>
  <c r="AB30" i="43"/>
  <c r="AC30" i="43"/>
  <c r="AD30" i="43"/>
  <c r="AE30" i="43"/>
  <c r="AF30" i="43"/>
  <c r="AG30" i="43"/>
  <c r="AJ30" i="43"/>
  <c r="AK30" i="43"/>
  <c r="AL30" i="43"/>
  <c r="AM30" i="43"/>
  <c r="AN30" i="43"/>
  <c r="AO30" i="43"/>
  <c r="AP30" i="43"/>
  <c r="AQ30" i="43"/>
  <c r="AR30" i="43"/>
  <c r="AT30" i="43"/>
  <c r="AU30" i="43"/>
  <c r="AV30" i="43"/>
  <c r="AX30" i="43"/>
  <c r="AY30" i="43"/>
  <c r="AZ30" i="43"/>
  <c r="BE30" i="43"/>
  <c r="BF30" i="43"/>
  <c r="C32" i="43"/>
  <c r="D32" i="43"/>
  <c r="E32" i="43"/>
  <c r="F32" i="43"/>
  <c r="G32" i="43"/>
  <c r="H32" i="43"/>
  <c r="I32" i="43"/>
  <c r="L32" i="43"/>
  <c r="M32" i="43"/>
  <c r="N32" i="43"/>
  <c r="O32" i="43"/>
  <c r="P32" i="43"/>
  <c r="Q32" i="43"/>
  <c r="R32" i="43"/>
  <c r="S32" i="43"/>
  <c r="T32" i="43"/>
  <c r="W32" i="43"/>
  <c r="Y32" i="43"/>
  <c r="Z32" i="43"/>
  <c r="AA32" i="43"/>
  <c r="AB32" i="43"/>
  <c r="AC32" i="43"/>
  <c r="AD32" i="43"/>
  <c r="AE32" i="43"/>
  <c r="AF32" i="43"/>
  <c r="AG32" i="43"/>
  <c r="AJ32" i="43"/>
  <c r="AK32" i="43"/>
  <c r="AL32" i="43"/>
  <c r="AM32" i="43"/>
  <c r="AN32" i="43"/>
  <c r="AO32" i="43"/>
  <c r="AP32" i="43"/>
  <c r="AQ32" i="43"/>
  <c r="AR32" i="43"/>
  <c r="AT32" i="43"/>
  <c r="AU32" i="43"/>
  <c r="AV32" i="43"/>
  <c r="AX32" i="43"/>
  <c r="AY32" i="43"/>
  <c r="AZ32" i="43"/>
  <c r="BE32" i="43"/>
  <c r="BF32" i="43"/>
  <c r="B32" i="43"/>
  <c r="C35" i="43"/>
  <c r="D35" i="43"/>
  <c r="E35" i="43"/>
  <c r="F35" i="43"/>
  <c r="G35" i="43"/>
  <c r="H35" i="43"/>
  <c r="I35" i="43"/>
  <c r="L35" i="43"/>
  <c r="M35" i="43"/>
  <c r="N35" i="43"/>
  <c r="O35" i="43"/>
  <c r="P35" i="43"/>
  <c r="Q35" i="43"/>
  <c r="R35" i="43"/>
  <c r="S35" i="43"/>
  <c r="T35" i="43"/>
  <c r="W35" i="43"/>
  <c r="Y35" i="43"/>
  <c r="Z35" i="43"/>
  <c r="AA35" i="43"/>
  <c r="AB35" i="43"/>
  <c r="AC35" i="43"/>
  <c r="AD35" i="43"/>
  <c r="AE35" i="43"/>
  <c r="AF35" i="43"/>
  <c r="AG35" i="43"/>
  <c r="AJ35" i="43"/>
  <c r="AK35" i="43"/>
  <c r="AL35" i="43"/>
  <c r="AM35" i="43"/>
  <c r="AN35" i="43"/>
  <c r="AO35" i="43"/>
  <c r="AP35" i="43"/>
  <c r="AQ35" i="43"/>
  <c r="AR35" i="43"/>
  <c r="AT35" i="43"/>
  <c r="AU35" i="43"/>
  <c r="AV35" i="43"/>
  <c r="AX35" i="43"/>
  <c r="AY35" i="43"/>
  <c r="AZ35" i="43"/>
  <c r="BE35" i="43"/>
  <c r="BF35" i="43"/>
  <c r="B35" i="43"/>
  <c r="C41" i="43"/>
  <c r="D41" i="43"/>
  <c r="E41" i="43"/>
  <c r="F41" i="43"/>
  <c r="G41" i="43"/>
  <c r="H41" i="43"/>
  <c r="I41" i="43"/>
  <c r="L41" i="43"/>
  <c r="M41" i="43"/>
  <c r="N41" i="43"/>
  <c r="O41" i="43"/>
  <c r="P41" i="43"/>
  <c r="Q41" i="43"/>
  <c r="R41" i="43"/>
  <c r="S41" i="43"/>
  <c r="T41" i="43"/>
  <c r="W41" i="43"/>
  <c r="Y41" i="43"/>
  <c r="Z41" i="43"/>
  <c r="AA41" i="43"/>
  <c r="AB41" i="43"/>
  <c r="AC41" i="43"/>
  <c r="AD41" i="43"/>
  <c r="AE41" i="43"/>
  <c r="AF41" i="43"/>
  <c r="AG41" i="43"/>
  <c r="AJ41" i="43"/>
  <c r="AK41" i="43"/>
  <c r="AL41" i="43"/>
  <c r="AM41" i="43"/>
  <c r="AN41" i="43"/>
  <c r="AO41" i="43"/>
  <c r="AP41" i="43"/>
  <c r="AQ41" i="43"/>
  <c r="AR41" i="43"/>
  <c r="AT41" i="43"/>
  <c r="AU41" i="43"/>
  <c r="AV41" i="43"/>
  <c r="AX41" i="43"/>
  <c r="AY41" i="43"/>
  <c r="AZ41" i="43"/>
  <c r="BE41" i="43"/>
  <c r="BF41" i="43"/>
  <c r="B41" i="43"/>
  <c r="W52" i="43"/>
  <c r="Y52" i="43"/>
  <c r="Z52" i="43"/>
  <c r="AA52" i="43"/>
  <c r="AB52" i="43"/>
  <c r="AC52" i="43"/>
  <c r="AD52" i="43"/>
  <c r="AE52" i="43"/>
  <c r="AF52" i="43"/>
  <c r="AG52" i="43"/>
  <c r="AJ52" i="43"/>
  <c r="AK52" i="43"/>
  <c r="AL52" i="43"/>
  <c r="AM52" i="43"/>
  <c r="AN52" i="43"/>
  <c r="AO52" i="43"/>
  <c r="AP52" i="43"/>
  <c r="AQ52" i="43"/>
  <c r="AR52" i="43"/>
  <c r="AT52" i="43"/>
  <c r="AU52" i="43"/>
  <c r="AV52" i="43"/>
  <c r="AX52" i="43"/>
  <c r="AY52" i="43"/>
  <c r="AZ52" i="43"/>
  <c r="BE52" i="43"/>
  <c r="BF52" i="43"/>
  <c r="W53" i="43"/>
  <c r="Y53" i="43"/>
  <c r="Z53" i="43"/>
  <c r="AA53" i="43"/>
  <c r="AB53" i="43"/>
  <c r="AC53" i="43"/>
  <c r="AD53" i="43"/>
  <c r="AE53" i="43"/>
  <c r="AF53" i="43"/>
  <c r="AG53" i="43"/>
  <c r="AJ53" i="43"/>
  <c r="AK53" i="43"/>
  <c r="AL53" i="43"/>
  <c r="AM53" i="43"/>
  <c r="AN53" i="43"/>
  <c r="AO53" i="43"/>
  <c r="AP53" i="43"/>
  <c r="AQ53" i="43"/>
  <c r="AR53" i="43"/>
  <c r="AT53" i="43"/>
  <c r="AU53" i="43"/>
  <c r="AV53" i="43"/>
  <c r="AX53" i="43"/>
  <c r="AY53" i="43"/>
  <c r="AZ53" i="43"/>
  <c r="BE53" i="43"/>
  <c r="BF53" i="43"/>
  <c r="W54" i="43"/>
  <c r="Y54" i="43"/>
  <c r="Z54" i="43"/>
  <c r="AA54" i="43"/>
  <c r="AB54" i="43"/>
  <c r="AC54" i="43"/>
  <c r="AD54" i="43"/>
  <c r="AE54" i="43"/>
  <c r="AF54" i="43"/>
  <c r="AG54" i="43"/>
  <c r="AJ54" i="43"/>
  <c r="AK54" i="43"/>
  <c r="AL54" i="43"/>
  <c r="AM54" i="43"/>
  <c r="AN54" i="43"/>
  <c r="AO54" i="43"/>
  <c r="AP54" i="43"/>
  <c r="AQ54" i="43"/>
  <c r="AR54" i="43"/>
  <c r="AT54" i="43"/>
  <c r="AU54" i="43"/>
  <c r="AV54" i="43"/>
  <c r="AX54" i="43"/>
  <c r="AY54" i="43"/>
  <c r="AZ54" i="43"/>
  <c r="BE54" i="43"/>
  <c r="BF54" i="43"/>
  <c r="W55" i="43"/>
  <c r="Y55" i="43"/>
  <c r="Z55" i="43"/>
  <c r="AA55" i="43"/>
  <c r="AB55" i="43"/>
  <c r="AC55" i="43"/>
  <c r="AD55" i="43"/>
  <c r="AE55" i="43"/>
  <c r="AF55" i="43"/>
  <c r="AG55" i="43"/>
  <c r="AJ55" i="43"/>
  <c r="AK55" i="43"/>
  <c r="AL55" i="43"/>
  <c r="AM55" i="43"/>
  <c r="AN55" i="43"/>
  <c r="AO55" i="43"/>
  <c r="AP55" i="43"/>
  <c r="AQ55" i="43"/>
  <c r="AR55" i="43"/>
  <c r="AT55" i="43"/>
  <c r="AU55" i="43"/>
  <c r="AV55" i="43"/>
  <c r="AX55" i="43"/>
  <c r="AY55" i="43"/>
  <c r="AZ55" i="43"/>
  <c r="BE55" i="43"/>
  <c r="BF55" i="43"/>
  <c r="W56" i="43"/>
  <c r="Y56" i="43"/>
  <c r="Z56" i="43"/>
  <c r="AA56" i="43"/>
  <c r="AB56" i="43"/>
  <c r="AC56" i="43"/>
  <c r="AD56" i="43"/>
  <c r="AE56" i="43"/>
  <c r="AF56" i="43"/>
  <c r="AG56" i="43"/>
  <c r="AJ56" i="43"/>
  <c r="AK56" i="43"/>
  <c r="AL56" i="43"/>
  <c r="AM56" i="43"/>
  <c r="AN56" i="43"/>
  <c r="AO56" i="43"/>
  <c r="AP56" i="43"/>
  <c r="AQ56" i="43"/>
  <c r="AR56" i="43"/>
  <c r="AT56" i="43"/>
  <c r="AU56" i="43"/>
  <c r="AV56" i="43"/>
  <c r="AX56" i="43"/>
  <c r="AY56" i="43"/>
  <c r="AZ56" i="43"/>
  <c r="BE56" i="43"/>
  <c r="BF56" i="43"/>
  <c r="W57" i="43"/>
  <c r="Y57" i="43"/>
  <c r="Z57" i="43"/>
  <c r="AA57" i="43"/>
  <c r="AB57" i="43"/>
  <c r="AC57" i="43"/>
  <c r="AD57" i="43"/>
  <c r="AE57" i="43"/>
  <c r="AF57" i="43"/>
  <c r="AG57" i="43"/>
  <c r="AJ57" i="43"/>
  <c r="AK57" i="43"/>
  <c r="AL57" i="43"/>
  <c r="AM57" i="43"/>
  <c r="AN57" i="43"/>
  <c r="AO57" i="43"/>
  <c r="AP57" i="43"/>
  <c r="AQ57" i="43"/>
  <c r="AR57" i="43"/>
  <c r="AT57" i="43"/>
  <c r="AU57" i="43"/>
  <c r="AV57" i="43"/>
  <c r="AW57" i="43"/>
  <c r="AX57" i="43"/>
  <c r="AY57" i="43"/>
  <c r="AZ57" i="43"/>
  <c r="BA57" i="43"/>
  <c r="BD57" i="43"/>
  <c r="BE57" i="43"/>
  <c r="BF57" i="43"/>
  <c r="W58" i="43"/>
  <c r="Y58" i="43"/>
  <c r="Z58" i="43"/>
  <c r="AA58" i="43"/>
  <c r="AB58" i="43"/>
  <c r="AC58" i="43"/>
  <c r="AD58" i="43"/>
  <c r="AE58" i="43"/>
  <c r="AF58" i="43"/>
  <c r="AG58" i="43"/>
  <c r="AJ58" i="43"/>
  <c r="AK58" i="43"/>
  <c r="AL58" i="43"/>
  <c r="AM58" i="43"/>
  <c r="AN58" i="43"/>
  <c r="AO58" i="43"/>
  <c r="AP58" i="43"/>
  <c r="AQ58" i="43"/>
  <c r="AR58" i="43"/>
  <c r="AT58" i="43"/>
  <c r="AU58" i="43"/>
  <c r="AV58" i="43"/>
  <c r="AW58" i="43"/>
  <c r="AX58" i="43"/>
  <c r="AY58" i="43"/>
  <c r="AZ58" i="43"/>
  <c r="BA58" i="43"/>
  <c r="BD58" i="43"/>
  <c r="BE58" i="43"/>
  <c r="BF58" i="43"/>
  <c r="Y51" i="43"/>
  <c r="Z51" i="43"/>
  <c r="AA51" i="43"/>
  <c r="AB51" i="43"/>
  <c r="AC51" i="43"/>
  <c r="AD51" i="43"/>
  <c r="AE51" i="43"/>
  <c r="AF51" i="43"/>
  <c r="AG51" i="43"/>
  <c r="AJ51" i="43"/>
  <c r="AK51" i="43"/>
  <c r="AL51" i="43"/>
  <c r="AM51" i="43"/>
  <c r="AN51" i="43"/>
  <c r="AO51" i="43"/>
  <c r="AP51" i="43"/>
  <c r="AQ51" i="43"/>
  <c r="AR51" i="43"/>
  <c r="AT51" i="43"/>
  <c r="AU51" i="43"/>
  <c r="AV51" i="43"/>
  <c r="AX51" i="43"/>
  <c r="AY51" i="43"/>
  <c r="AZ51" i="43"/>
  <c r="BE51" i="43"/>
  <c r="BF51" i="43"/>
  <c r="C51" i="43"/>
  <c r="D51" i="43"/>
  <c r="E51" i="43"/>
  <c r="F51" i="43"/>
  <c r="G51" i="43"/>
  <c r="H51" i="43"/>
  <c r="I51" i="43"/>
  <c r="L51" i="43"/>
  <c r="M51" i="43"/>
  <c r="N51" i="43"/>
  <c r="O51" i="43"/>
  <c r="P51" i="43"/>
  <c r="Q51" i="43"/>
  <c r="R51" i="43"/>
  <c r="S51" i="43"/>
  <c r="T51" i="43"/>
  <c r="W51" i="43"/>
  <c r="C52" i="43"/>
  <c r="D52" i="43"/>
  <c r="E52" i="43"/>
  <c r="F52" i="43"/>
  <c r="G52" i="43"/>
  <c r="H52" i="43"/>
  <c r="I52" i="43"/>
  <c r="L52" i="43"/>
  <c r="M52" i="43"/>
  <c r="N52" i="43"/>
  <c r="O52" i="43"/>
  <c r="P52" i="43"/>
  <c r="Q52" i="43"/>
  <c r="R52" i="43"/>
  <c r="S52" i="43"/>
  <c r="T52" i="43"/>
  <c r="C53" i="43"/>
  <c r="D53" i="43"/>
  <c r="E53" i="43"/>
  <c r="F53" i="43"/>
  <c r="G53" i="43"/>
  <c r="H53" i="43"/>
  <c r="I53" i="43"/>
  <c r="L53" i="43"/>
  <c r="M53" i="43"/>
  <c r="N53" i="43"/>
  <c r="O53" i="43"/>
  <c r="P53" i="43"/>
  <c r="Q53" i="43"/>
  <c r="R53" i="43"/>
  <c r="S53" i="43"/>
  <c r="T53" i="43"/>
  <c r="C54" i="43"/>
  <c r="D54" i="43"/>
  <c r="E54" i="43"/>
  <c r="F54" i="43"/>
  <c r="G54" i="43"/>
  <c r="H54" i="43"/>
  <c r="I54" i="43"/>
  <c r="L54" i="43"/>
  <c r="M54" i="43"/>
  <c r="N54" i="43"/>
  <c r="O54" i="43"/>
  <c r="P54" i="43"/>
  <c r="Q54" i="43"/>
  <c r="R54" i="43"/>
  <c r="S54" i="43"/>
  <c r="T54" i="43"/>
  <c r="C55" i="43"/>
  <c r="D55" i="43"/>
  <c r="E55" i="43"/>
  <c r="F55" i="43"/>
  <c r="G55" i="43"/>
  <c r="H55" i="43"/>
  <c r="I55" i="43"/>
  <c r="L55" i="43"/>
  <c r="M55" i="43"/>
  <c r="N55" i="43"/>
  <c r="O55" i="43"/>
  <c r="P55" i="43"/>
  <c r="Q55" i="43"/>
  <c r="R55" i="43"/>
  <c r="S55" i="43"/>
  <c r="T55" i="43"/>
  <c r="C56" i="43"/>
  <c r="D56" i="43"/>
  <c r="E56" i="43"/>
  <c r="F56" i="43"/>
  <c r="G56" i="43"/>
  <c r="H56" i="43"/>
  <c r="I56" i="43"/>
  <c r="L56" i="43"/>
  <c r="M56" i="43"/>
  <c r="N56" i="43"/>
  <c r="O56" i="43"/>
  <c r="P56" i="43"/>
  <c r="Q56" i="43"/>
  <c r="R56" i="43"/>
  <c r="S56" i="43"/>
  <c r="T56" i="43"/>
  <c r="C57" i="43"/>
  <c r="D57" i="43"/>
  <c r="E57" i="43"/>
  <c r="F57" i="43"/>
  <c r="G57" i="43"/>
  <c r="H57" i="43"/>
  <c r="I57" i="43"/>
  <c r="L57" i="43"/>
  <c r="M57" i="43"/>
  <c r="N57" i="43"/>
  <c r="O57" i="43"/>
  <c r="P57" i="43"/>
  <c r="Q57" i="43"/>
  <c r="R57" i="43"/>
  <c r="S57" i="43"/>
  <c r="T57" i="43"/>
  <c r="C58" i="43"/>
  <c r="D58" i="43"/>
  <c r="E58" i="43"/>
  <c r="F58" i="43"/>
  <c r="G58" i="43"/>
  <c r="H58" i="43"/>
  <c r="I58" i="43"/>
  <c r="L58" i="43"/>
  <c r="M58" i="43"/>
  <c r="N58" i="43"/>
  <c r="O58" i="43"/>
  <c r="P58" i="43"/>
  <c r="Q58" i="43"/>
  <c r="R58" i="43"/>
  <c r="S58" i="43"/>
  <c r="T58" i="43"/>
  <c r="B52" i="43"/>
  <c r="B53" i="43"/>
  <c r="B54" i="43"/>
  <c r="B55" i="43"/>
  <c r="B56" i="43"/>
  <c r="B57" i="43"/>
  <c r="B58" i="43"/>
  <c r="B51" i="43"/>
  <c r="B30" i="43"/>
  <c r="B27" i="43"/>
  <c r="B25" i="43"/>
  <c r="B22" i="43"/>
  <c r="B19" i="43"/>
  <c r="B20" i="43"/>
  <c r="B18" i="43"/>
  <c r="B16" i="43"/>
  <c r="B14" i="43"/>
  <c r="B12" i="43"/>
  <c r="B9" i="43"/>
  <c r="BL52" i="43"/>
  <c r="BM52" i="43"/>
  <c r="BN52" i="43"/>
  <c r="BL53" i="43"/>
  <c r="BM53" i="43"/>
  <c r="BN53" i="43"/>
  <c r="BL54" i="43"/>
  <c r="BM54" i="43"/>
  <c r="BN54" i="43"/>
  <c r="BL55" i="43"/>
  <c r="BM55" i="43"/>
  <c r="BN55" i="43"/>
  <c r="BL56" i="43"/>
  <c r="BM56" i="43"/>
  <c r="BN56" i="43"/>
  <c r="BL57" i="43"/>
  <c r="BM57" i="43"/>
  <c r="BN57" i="43"/>
  <c r="BL58" i="43"/>
  <c r="BM58" i="43"/>
  <c r="BN58" i="43"/>
  <c r="BN51" i="43"/>
  <c r="BM51" i="43"/>
  <c r="BL51" i="43"/>
  <c r="BN41" i="43"/>
  <c r="BM41" i="43"/>
  <c r="BL41" i="43"/>
  <c r="BN35" i="43"/>
  <c r="BM35" i="43"/>
  <c r="BL35" i="43"/>
  <c r="BN32" i="43"/>
  <c r="BM32" i="43"/>
  <c r="BN30" i="43"/>
  <c r="BM30" i="43"/>
  <c r="BL30" i="43"/>
  <c r="BN29" i="43"/>
  <c r="BM29" i="43"/>
  <c r="BL29" i="43"/>
  <c r="BN27" i="43"/>
  <c r="BM27" i="43"/>
  <c r="BL27" i="43"/>
  <c r="BM25" i="43"/>
  <c r="BN25" i="43"/>
  <c r="BL25" i="43"/>
  <c r="BM22" i="43"/>
  <c r="BN22" i="43"/>
  <c r="BL22" i="43"/>
  <c r="BM18" i="43"/>
  <c r="BN18" i="43"/>
  <c r="BM19" i="43"/>
  <c r="BN19" i="43"/>
  <c r="BM20" i="43"/>
  <c r="BN20" i="43"/>
  <c r="BL19" i="43"/>
  <c r="BL20" i="43"/>
  <c r="BL18" i="43"/>
  <c r="BM16" i="43"/>
  <c r="BN16" i="43"/>
  <c r="BL16" i="43"/>
  <c r="BM14" i="43"/>
  <c r="BN14" i="43"/>
  <c r="BL14" i="43"/>
  <c r="BM12" i="43"/>
  <c r="BN12" i="43"/>
  <c r="BL12" i="43"/>
  <c r="BM9" i="43"/>
  <c r="BN9" i="43"/>
  <c r="BM10" i="43"/>
  <c r="BN10" i="43"/>
  <c r="BL10" i="43"/>
  <c r="BL9" i="43"/>
  <c r="C13" i="43" l="1"/>
  <c r="G13" i="43"/>
  <c r="W13" i="43"/>
  <c r="AD13" i="43"/>
  <c r="AE13" i="43"/>
  <c r="AM13" i="43"/>
  <c r="AX13" i="43"/>
  <c r="AY13" i="43"/>
  <c r="BF13" i="43"/>
  <c r="H11" i="43"/>
  <c r="P11" i="43"/>
  <c r="AD11" i="43"/>
  <c r="AF11" i="43"/>
  <c r="AL11" i="43"/>
  <c r="AN11" i="43"/>
  <c r="AQ11" i="43"/>
  <c r="AV11" i="43"/>
  <c r="AY11" i="43"/>
  <c r="BE11" i="43"/>
  <c r="R11" i="43"/>
  <c r="S11" i="43"/>
  <c r="W11" i="43"/>
  <c r="AE11" i="43"/>
  <c r="AM11" i="43"/>
  <c r="AU11" i="43"/>
  <c r="BF11" i="43"/>
  <c r="I11" i="43"/>
  <c r="L11" i="43"/>
  <c r="M11" i="43"/>
  <c r="N11" i="43"/>
  <c r="O11" i="43"/>
  <c r="Q11" i="43"/>
  <c r="T11" i="43"/>
  <c r="Y11" i="43"/>
  <c r="AA11" i="43"/>
  <c r="AB11" i="43"/>
  <c r="AC11" i="43"/>
  <c r="AG11" i="43"/>
  <c r="AJ11" i="43"/>
  <c r="AK11" i="43"/>
  <c r="AO11" i="43"/>
  <c r="AR11" i="43"/>
  <c r="AT11" i="43"/>
  <c r="AZ11" i="43"/>
  <c r="I13" i="43"/>
  <c r="L13" i="43"/>
  <c r="M13" i="43"/>
  <c r="N13" i="43"/>
  <c r="O13" i="43"/>
  <c r="P13" i="43"/>
  <c r="Q13" i="43"/>
  <c r="R13" i="43"/>
  <c r="S13" i="43"/>
  <c r="T13" i="43"/>
  <c r="Y13" i="43"/>
  <c r="AB13" i="43"/>
  <c r="AC13" i="43"/>
  <c r="AF13" i="43"/>
  <c r="AG13" i="43"/>
  <c r="AJ13" i="43"/>
  <c r="AK13" i="43"/>
  <c r="AL13" i="43"/>
  <c r="AN13" i="43"/>
  <c r="AO13" i="43"/>
  <c r="AR13" i="43"/>
  <c r="AT13" i="43"/>
  <c r="AU13" i="43"/>
  <c r="AV13" i="43"/>
  <c r="AZ13" i="43"/>
  <c r="BE13" i="43"/>
  <c r="I15" i="43"/>
  <c r="L15" i="43"/>
  <c r="M15" i="43"/>
  <c r="N15" i="43"/>
  <c r="O15" i="43"/>
  <c r="P15" i="43"/>
  <c r="Q15" i="43"/>
  <c r="R15" i="43"/>
  <c r="S15" i="43"/>
  <c r="T15" i="43"/>
  <c r="W15" i="43"/>
  <c r="Y15" i="43"/>
  <c r="Z15" i="43"/>
  <c r="AA15" i="43"/>
  <c r="AB15" i="43"/>
  <c r="AC15" i="43"/>
  <c r="AD15" i="43"/>
  <c r="AE15" i="43"/>
  <c r="AF15" i="43"/>
  <c r="AG15" i="43"/>
  <c r="AJ15" i="43"/>
  <c r="AK15" i="43"/>
  <c r="AL15" i="43"/>
  <c r="AM15" i="43"/>
  <c r="AN15" i="43"/>
  <c r="AO15" i="43"/>
  <c r="AP15" i="43"/>
  <c r="AQ15" i="43"/>
  <c r="AR15" i="43"/>
  <c r="AT15" i="43"/>
  <c r="AU15" i="43"/>
  <c r="AV15" i="43"/>
  <c r="AX15" i="43"/>
  <c r="AY15" i="43"/>
  <c r="AZ15" i="43"/>
  <c r="BE15" i="43"/>
  <c r="BF15" i="43"/>
  <c r="I17" i="43"/>
  <c r="L17" i="43"/>
  <c r="M17" i="43"/>
  <c r="N17" i="43"/>
  <c r="O17" i="43"/>
  <c r="P17" i="43"/>
  <c r="Q17" i="43"/>
  <c r="R17" i="43"/>
  <c r="S17" i="43"/>
  <c r="T17" i="43"/>
  <c r="W17" i="43"/>
  <c r="Y17" i="43"/>
  <c r="Z17" i="43"/>
  <c r="AA17" i="43"/>
  <c r="AB17" i="43"/>
  <c r="AC17" i="43"/>
  <c r="AD17" i="43"/>
  <c r="AE17" i="43"/>
  <c r="AF17" i="43"/>
  <c r="AG17" i="43"/>
  <c r="AJ17" i="43"/>
  <c r="AK17" i="43"/>
  <c r="AL17" i="43"/>
  <c r="AM17" i="43"/>
  <c r="AN17" i="43"/>
  <c r="AO17" i="43"/>
  <c r="AP17" i="43"/>
  <c r="AQ17" i="43"/>
  <c r="AR17" i="43"/>
  <c r="AT17" i="43"/>
  <c r="AU17" i="43"/>
  <c r="AV17" i="43"/>
  <c r="AX17" i="43"/>
  <c r="AY17" i="43"/>
  <c r="AZ17" i="43"/>
  <c r="BE17" i="43"/>
  <c r="BF17" i="43"/>
  <c r="I21" i="43"/>
  <c r="L21" i="43"/>
  <c r="M21" i="43"/>
  <c r="N21" i="43"/>
  <c r="O21" i="43"/>
  <c r="P21" i="43"/>
  <c r="Q21" i="43"/>
  <c r="R21" i="43"/>
  <c r="S21" i="43"/>
  <c r="T21" i="43"/>
  <c r="W21" i="43"/>
  <c r="Y21" i="43"/>
  <c r="Z21" i="43"/>
  <c r="AA21" i="43"/>
  <c r="AB21" i="43"/>
  <c r="AC21" i="43"/>
  <c r="AD21" i="43"/>
  <c r="AE21" i="43"/>
  <c r="AF21" i="43"/>
  <c r="AG21" i="43"/>
  <c r="AJ21" i="43"/>
  <c r="AK21" i="43"/>
  <c r="AL21" i="43"/>
  <c r="AM21" i="43"/>
  <c r="AN21" i="43"/>
  <c r="AO21" i="43"/>
  <c r="AP21" i="43"/>
  <c r="AQ21" i="43"/>
  <c r="AR21" i="43"/>
  <c r="AT21" i="43"/>
  <c r="AU21" i="43"/>
  <c r="AV21" i="43"/>
  <c r="AX21" i="43"/>
  <c r="AY21" i="43"/>
  <c r="AZ21" i="43"/>
  <c r="BE21" i="43"/>
  <c r="BF21" i="43"/>
  <c r="BG21" i="43" s="1"/>
  <c r="BG18" i="43"/>
  <c r="BG22" i="43"/>
  <c r="P8" i="43"/>
  <c r="AF8" i="43"/>
  <c r="AK8" i="43"/>
  <c r="AL8" i="43"/>
  <c r="AN8" i="43"/>
  <c r="AV8" i="43"/>
  <c r="BK10" i="43"/>
  <c r="BG10" i="43"/>
  <c r="Q8" i="43"/>
  <c r="Y8" i="43"/>
  <c r="AG8" i="43"/>
  <c r="I8" i="43"/>
  <c r="BG56" i="43"/>
  <c r="BG55" i="43"/>
  <c r="BG54" i="43"/>
  <c r="BG53" i="43"/>
  <c r="BG52" i="43"/>
  <c r="BG51" i="43"/>
  <c r="BN50" i="43"/>
  <c r="BM50" i="43"/>
  <c r="BM5" i="43" s="1"/>
  <c r="BL50" i="43"/>
  <c r="BF50" i="43"/>
  <c r="BE50" i="43"/>
  <c r="BE40" i="43" s="1"/>
  <c r="AZ50" i="43"/>
  <c r="AZ40" i="43" s="1"/>
  <c r="AY50" i="43"/>
  <c r="AY40" i="43" s="1"/>
  <c r="AX50" i="43"/>
  <c r="AX40" i="43" s="1"/>
  <c r="AV50" i="43"/>
  <c r="AU50" i="43"/>
  <c r="AT50" i="43"/>
  <c r="AR50" i="43"/>
  <c r="AR40" i="43" s="1"/>
  <c r="AQ50" i="43"/>
  <c r="AQ40" i="43" s="1"/>
  <c r="AP50" i="43"/>
  <c r="AP40" i="43" s="1"/>
  <c r="AO50" i="43"/>
  <c r="AN50" i="43"/>
  <c r="AM50" i="43"/>
  <c r="AL50" i="43"/>
  <c r="AK50" i="43"/>
  <c r="AK5" i="43" s="1"/>
  <c r="AJ50" i="43"/>
  <c r="AG50" i="43"/>
  <c r="AG40" i="43" s="1"/>
  <c r="AF50" i="43"/>
  <c r="AE50" i="43"/>
  <c r="AE5" i="43" s="1"/>
  <c r="AD50" i="43"/>
  <c r="AC50" i="43"/>
  <c r="AB50" i="43"/>
  <c r="AB40" i="43" s="1"/>
  <c r="AA50" i="43"/>
  <c r="AA40" i="43" s="1"/>
  <c r="Z50" i="43"/>
  <c r="Z40" i="43" s="1"/>
  <c r="Y50" i="43"/>
  <c r="W50" i="43"/>
  <c r="T50" i="43"/>
  <c r="S50" i="43"/>
  <c r="S5" i="43" s="1"/>
  <c r="R50" i="43"/>
  <c r="Q50" i="43"/>
  <c r="Q40" i="43" s="1"/>
  <c r="P50" i="43"/>
  <c r="O50" i="43"/>
  <c r="O5" i="43" s="1"/>
  <c r="N50" i="43"/>
  <c r="N5" i="43" s="1"/>
  <c r="M50" i="43"/>
  <c r="M5" i="43" s="1"/>
  <c r="L50" i="43"/>
  <c r="I50" i="43"/>
  <c r="H50" i="43"/>
  <c r="H40" i="43" s="1"/>
  <c r="G50" i="43"/>
  <c r="G5" i="43" s="1"/>
  <c r="F50" i="43"/>
  <c r="F5" i="43" s="1"/>
  <c r="E50" i="43"/>
  <c r="E40" i="43" s="1"/>
  <c r="D50" i="43"/>
  <c r="D40" i="43" s="1"/>
  <c r="C50" i="43"/>
  <c r="C40" i="43" s="1"/>
  <c r="B50" i="43"/>
  <c r="B5" i="43" s="1"/>
  <c r="BK49" i="43"/>
  <c r="BJ49" i="43"/>
  <c r="BG49" i="43"/>
  <c r="BA49" i="43"/>
  <c r="AW49" i="43"/>
  <c r="BB49" i="43" s="1"/>
  <c r="BC49" i="43" s="1"/>
  <c r="AS49" i="43"/>
  <c r="AH49" i="43"/>
  <c r="AI49" i="43" s="1"/>
  <c r="X49" i="43"/>
  <c r="BI49" i="43" s="1"/>
  <c r="U49" i="43"/>
  <c r="V49" i="43" s="1"/>
  <c r="J49" i="43"/>
  <c r="K49" i="43" s="1"/>
  <c r="BK48" i="43"/>
  <c r="BJ48" i="43"/>
  <c r="BG48" i="43"/>
  <c r="BA48" i="43"/>
  <c r="AW48" i="43"/>
  <c r="AS48" i="43"/>
  <c r="AH48" i="43"/>
  <c r="AI48" i="43" s="1"/>
  <c r="X48" i="43"/>
  <c r="BI48" i="43" s="1"/>
  <c r="U48" i="43"/>
  <c r="V48" i="43" s="1"/>
  <c r="J48" i="43"/>
  <c r="K48" i="43" s="1"/>
  <c r="BK47" i="43"/>
  <c r="BJ47" i="43"/>
  <c r="BG47" i="43"/>
  <c r="BA47" i="43"/>
  <c r="AW47" i="43"/>
  <c r="AS47" i="43"/>
  <c r="AH47" i="43"/>
  <c r="AI47" i="43" s="1"/>
  <c r="X47" i="43"/>
  <c r="BI47" i="43" s="1"/>
  <c r="U47" i="43"/>
  <c r="V47" i="43" s="1"/>
  <c r="J47" i="43"/>
  <c r="K47" i="43" s="1"/>
  <c r="BK46" i="43"/>
  <c r="BJ46" i="43"/>
  <c r="BG46" i="43"/>
  <c r="BA46" i="43"/>
  <c r="AW46" i="43"/>
  <c r="AS46" i="43"/>
  <c r="AH46" i="43"/>
  <c r="AI46" i="43" s="1"/>
  <c r="X46" i="43"/>
  <c r="BI46" i="43" s="1"/>
  <c r="U46" i="43"/>
  <c r="V46" i="43" s="1"/>
  <c r="J46" i="43"/>
  <c r="K46" i="43" s="1"/>
  <c r="BK45" i="43"/>
  <c r="BJ45" i="43"/>
  <c r="BG45" i="43"/>
  <c r="BA45" i="43"/>
  <c r="AW45" i="43"/>
  <c r="BB45" i="43" s="1"/>
  <c r="BC45" i="43" s="1"/>
  <c r="AS45" i="43"/>
  <c r="AH45" i="43"/>
  <c r="AI45" i="43" s="1"/>
  <c r="X45" i="43"/>
  <c r="BH45" i="43" s="1"/>
  <c r="U45" i="43"/>
  <c r="V45" i="43" s="1"/>
  <c r="J45" i="43"/>
  <c r="K45" i="43" s="1"/>
  <c r="BK44" i="43"/>
  <c r="BJ44" i="43"/>
  <c r="BG44" i="43"/>
  <c r="BA44" i="43"/>
  <c r="AW44" i="43"/>
  <c r="AS44" i="43"/>
  <c r="AH44" i="43"/>
  <c r="AI44" i="43" s="1"/>
  <c r="X44" i="43"/>
  <c r="U44" i="43"/>
  <c r="V44" i="43" s="1"/>
  <c r="J44" i="43"/>
  <c r="K44" i="43" s="1"/>
  <c r="BK43" i="43"/>
  <c r="BJ43" i="43"/>
  <c r="BG43" i="43"/>
  <c r="BA43" i="43"/>
  <c r="AW43" i="43"/>
  <c r="AS43" i="43"/>
  <c r="AH43" i="43"/>
  <c r="AI43" i="43" s="1"/>
  <c r="X43" i="43"/>
  <c r="BI43" i="43" s="1"/>
  <c r="U43" i="43"/>
  <c r="V43" i="43" s="1"/>
  <c r="J43" i="43"/>
  <c r="K43" i="43" s="1"/>
  <c r="BK42" i="43"/>
  <c r="BJ42" i="43"/>
  <c r="BG42" i="43"/>
  <c r="BA42" i="43"/>
  <c r="AW42" i="43"/>
  <c r="AS42" i="43"/>
  <c r="AH42" i="43"/>
  <c r="AI42" i="43" s="1"/>
  <c r="X42" i="43"/>
  <c r="BI42" i="43" s="1"/>
  <c r="U42" i="43"/>
  <c r="V42" i="43" s="1"/>
  <c r="J42" i="43"/>
  <c r="K42" i="43" s="1"/>
  <c r="BG41" i="43"/>
  <c r="BN40" i="43"/>
  <c r="AM40" i="43"/>
  <c r="AC40" i="43"/>
  <c r="S40" i="43"/>
  <c r="R40" i="43"/>
  <c r="I40" i="43"/>
  <c r="BK39" i="43"/>
  <c r="BJ39" i="43"/>
  <c r="BG39" i="43"/>
  <c r="BA39" i="43"/>
  <c r="AW39" i="43"/>
  <c r="AS39" i="43"/>
  <c r="AH39" i="43"/>
  <c r="AI39" i="43" s="1"/>
  <c r="X39" i="43"/>
  <c r="BI39" i="43" s="1"/>
  <c r="U39" i="43"/>
  <c r="V39" i="43" s="1"/>
  <c r="J39" i="43"/>
  <c r="K39" i="43" s="1"/>
  <c r="BK38" i="43"/>
  <c r="BJ38" i="43"/>
  <c r="BG38" i="43"/>
  <c r="BA38" i="43"/>
  <c r="AW38" i="43"/>
  <c r="AS38" i="43"/>
  <c r="AH38" i="43"/>
  <c r="AI38" i="43" s="1"/>
  <c r="X38" i="43"/>
  <c r="U38" i="43"/>
  <c r="V38" i="43" s="1"/>
  <c r="J38" i="43"/>
  <c r="K38" i="43" s="1"/>
  <c r="BK37" i="43"/>
  <c r="BJ37" i="43"/>
  <c r="BG37" i="43"/>
  <c r="BA37" i="43"/>
  <c r="AW37" i="43"/>
  <c r="AS37" i="43"/>
  <c r="AH37" i="43"/>
  <c r="AI37" i="43" s="1"/>
  <c r="X37" i="43"/>
  <c r="BI37" i="43" s="1"/>
  <c r="U37" i="43"/>
  <c r="V37" i="43" s="1"/>
  <c r="J37" i="43"/>
  <c r="K37" i="43" s="1"/>
  <c r="BK36" i="43"/>
  <c r="BJ36" i="43"/>
  <c r="BG36" i="43"/>
  <c r="BA36" i="43"/>
  <c r="AW36" i="43"/>
  <c r="AS36" i="43"/>
  <c r="AH36" i="43"/>
  <c r="AI36" i="43" s="1"/>
  <c r="X36" i="43"/>
  <c r="U36" i="43"/>
  <c r="V36" i="43" s="1"/>
  <c r="J36" i="43"/>
  <c r="K36" i="43" s="1"/>
  <c r="BG35" i="43"/>
  <c r="BN34" i="43"/>
  <c r="BM34" i="43"/>
  <c r="BL34" i="43"/>
  <c r="BF34" i="43"/>
  <c r="BE34" i="43"/>
  <c r="AZ34" i="43"/>
  <c r="AY34" i="43"/>
  <c r="AX34" i="43"/>
  <c r="AV34" i="43"/>
  <c r="AU34" i="43"/>
  <c r="AT34" i="43"/>
  <c r="AR34" i="43"/>
  <c r="AQ34" i="43"/>
  <c r="AP34" i="43"/>
  <c r="AO34" i="43"/>
  <c r="AN34" i="43"/>
  <c r="AM34" i="43"/>
  <c r="AL34" i="43"/>
  <c r="AK34" i="43"/>
  <c r="AJ34" i="43"/>
  <c r="AG34" i="43"/>
  <c r="AF34" i="43"/>
  <c r="AE34" i="43"/>
  <c r="AD34" i="43"/>
  <c r="AC34" i="43"/>
  <c r="AB34" i="43"/>
  <c r="AA34" i="43"/>
  <c r="Z34" i="43"/>
  <c r="Y34" i="43"/>
  <c r="W34" i="43"/>
  <c r="T34" i="43"/>
  <c r="S34" i="43"/>
  <c r="R34" i="43"/>
  <c r="Q34" i="43"/>
  <c r="P34" i="43"/>
  <c r="O34" i="43"/>
  <c r="N34" i="43"/>
  <c r="M34" i="43"/>
  <c r="L34" i="43"/>
  <c r="I34" i="43"/>
  <c r="H34" i="43"/>
  <c r="H33" i="43" s="1"/>
  <c r="G34" i="43"/>
  <c r="F34" i="43"/>
  <c r="E34" i="43"/>
  <c r="D34" i="43"/>
  <c r="C34" i="43"/>
  <c r="B34" i="43"/>
  <c r="BG32" i="43"/>
  <c r="BN31" i="43"/>
  <c r="BM31" i="43"/>
  <c r="BF31" i="43"/>
  <c r="BE31" i="43"/>
  <c r="AZ31" i="43"/>
  <c r="AY31" i="43"/>
  <c r="AX31" i="43"/>
  <c r="AV31" i="43"/>
  <c r="AU31" i="43"/>
  <c r="AT31" i="43"/>
  <c r="AR31" i="43"/>
  <c r="AQ31" i="43"/>
  <c r="AP31" i="43"/>
  <c r="AO31" i="43"/>
  <c r="AN31" i="43"/>
  <c r="AM31" i="43"/>
  <c r="AL31" i="43"/>
  <c r="AK31" i="43"/>
  <c r="AJ31" i="43"/>
  <c r="AG31" i="43"/>
  <c r="AF31" i="43"/>
  <c r="AE31" i="43"/>
  <c r="AD31" i="43"/>
  <c r="AC31" i="43"/>
  <c r="AB31" i="43"/>
  <c r="AA31" i="43"/>
  <c r="Z31" i="43"/>
  <c r="Y31" i="43"/>
  <c r="W31" i="43"/>
  <c r="T31" i="43"/>
  <c r="S31" i="43"/>
  <c r="R31" i="43"/>
  <c r="Q31" i="43"/>
  <c r="P31" i="43"/>
  <c r="O31" i="43"/>
  <c r="N31" i="43"/>
  <c r="M31" i="43"/>
  <c r="L31" i="43"/>
  <c r="I31" i="43"/>
  <c r="H31" i="43"/>
  <c r="G31" i="43"/>
  <c r="F31" i="43"/>
  <c r="E31" i="43"/>
  <c r="D31" i="43"/>
  <c r="C31" i="43"/>
  <c r="B31" i="43"/>
  <c r="BG30" i="43"/>
  <c r="BG29" i="43"/>
  <c r="BN28" i="43"/>
  <c r="BM28" i="43"/>
  <c r="BL28" i="43"/>
  <c r="BF28" i="43"/>
  <c r="BE28" i="43"/>
  <c r="AZ28" i="43"/>
  <c r="AY28" i="43"/>
  <c r="AX28" i="43"/>
  <c r="AV28" i="43"/>
  <c r="AU28" i="43"/>
  <c r="AT28" i="43"/>
  <c r="AR28" i="43"/>
  <c r="AQ28" i="43"/>
  <c r="AP28" i="43"/>
  <c r="AO28" i="43"/>
  <c r="AN28" i="43"/>
  <c r="AM28" i="43"/>
  <c r="AL28" i="43"/>
  <c r="AK28" i="43"/>
  <c r="AJ28" i="43"/>
  <c r="AG28" i="43"/>
  <c r="AF28" i="43"/>
  <c r="AE28" i="43"/>
  <c r="AD28" i="43"/>
  <c r="AC28" i="43"/>
  <c r="AB28" i="43"/>
  <c r="AA28" i="43"/>
  <c r="Z28" i="43"/>
  <c r="Y28" i="43"/>
  <c r="W28" i="43"/>
  <c r="T28" i="43"/>
  <c r="S28" i="43"/>
  <c r="R28" i="43"/>
  <c r="Q28" i="43"/>
  <c r="P28" i="43"/>
  <c r="O28" i="43"/>
  <c r="N28" i="43"/>
  <c r="M28" i="43"/>
  <c r="L28" i="43"/>
  <c r="I28" i="43"/>
  <c r="H28" i="43"/>
  <c r="G28" i="43"/>
  <c r="F28" i="43"/>
  <c r="E28" i="43"/>
  <c r="C28" i="43"/>
  <c r="B28" i="43"/>
  <c r="BG27" i="43"/>
  <c r="BN26" i="43"/>
  <c r="BM26" i="43"/>
  <c r="BL26" i="43"/>
  <c r="BF26" i="43"/>
  <c r="BE26" i="43"/>
  <c r="AZ26" i="43"/>
  <c r="AY26" i="43"/>
  <c r="AX26" i="43"/>
  <c r="AV26" i="43"/>
  <c r="AU26" i="43"/>
  <c r="AT26" i="43"/>
  <c r="AR26" i="43"/>
  <c r="AQ26" i="43"/>
  <c r="AP26" i="43"/>
  <c r="AO26" i="43"/>
  <c r="AN26" i="43"/>
  <c r="AM26" i="43"/>
  <c r="AL26" i="43"/>
  <c r="AK26" i="43"/>
  <c r="AJ26" i="43"/>
  <c r="AS26" i="43" s="1"/>
  <c r="AG26" i="43"/>
  <c r="AF26" i="43"/>
  <c r="AE26" i="43"/>
  <c r="AD26" i="43"/>
  <c r="AC26" i="43"/>
  <c r="AB26" i="43"/>
  <c r="AA26" i="43"/>
  <c r="Z26" i="43"/>
  <c r="Y26" i="43"/>
  <c r="W26" i="43"/>
  <c r="T26" i="43"/>
  <c r="S26" i="43"/>
  <c r="R26" i="43"/>
  <c r="Q26" i="43"/>
  <c r="P26" i="43"/>
  <c r="O26" i="43"/>
  <c r="N26" i="43"/>
  <c r="M26" i="43"/>
  <c r="L26" i="43"/>
  <c r="I26" i="43"/>
  <c r="H26" i="43"/>
  <c r="G26" i="43"/>
  <c r="F26" i="43"/>
  <c r="E26" i="43"/>
  <c r="D26" i="43"/>
  <c r="C26" i="43"/>
  <c r="B26" i="43"/>
  <c r="BG25" i="43"/>
  <c r="BN24" i="43"/>
  <c r="BM24" i="43"/>
  <c r="BL24" i="43"/>
  <c r="BF24" i="43"/>
  <c r="BE24" i="43"/>
  <c r="AZ24" i="43"/>
  <c r="AY24" i="43"/>
  <c r="AX24" i="43"/>
  <c r="AV24" i="43"/>
  <c r="AU24" i="43"/>
  <c r="AT24" i="43"/>
  <c r="AR24" i="43"/>
  <c r="AQ24" i="43"/>
  <c r="AP24" i="43"/>
  <c r="AO24" i="43"/>
  <c r="AN24" i="43"/>
  <c r="AM24" i="43"/>
  <c r="AL24" i="43"/>
  <c r="AK24" i="43"/>
  <c r="AJ24" i="43"/>
  <c r="AS24" i="43" s="1"/>
  <c r="AG24" i="43"/>
  <c r="AF24" i="43"/>
  <c r="AE24" i="43"/>
  <c r="AD24" i="43"/>
  <c r="AC24" i="43"/>
  <c r="AB24" i="43"/>
  <c r="AA24" i="43"/>
  <c r="Z24" i="43"/>
  <c r="Y24" i="43"/>
  <c r="W24" i="43"/>
  <c r="T24" i="43"/>
  <c r="T23" i="43" s="1"/>
  <c r="S24" i="43"/>
  <c r="R24" i="43"/>
  <c r="Q24" i="43"/>
  <c r="P24" i="43"/>
  <c r="O24" i="43"/>
  <c r="N24" i="43"/>
  <c r="M24" i="43"/>
  <c r="L24" i="43"/>
  <c r="I24" i="43"/>
  <c r="H24" i="43"/>
  <c r="G24" i="43"/>
  <c r="F24" i="43"/>
  <c r="E24" i="43"/>
  <c r="D24" i="43"/>
  <c r="C24" i="43"/>
  <c r="B24" i="43"/>
  <c r="BN21" i="43"/>
  <c r="BM21" i="43"/>
  <c r="BL21" i="43"/>
  <c r="H21" i="43"/>
  <c r="G21" i="43"/>
  <c r="F21" i="43"/>
  <c r="E21" i="43"/>
  <c r="D21" i="43"/>
  <c r="C21" i="43"/>
  <c r="B21" i="43"/>
  <c r="BG20" i="43"/>
  <c r="BG19" i="43"/>
  <c r="BN17" i="43"/>
  <c r="BM17" i="43"/>
  <c r="BL17" i="43"/>
  <c r="H17" i="43"/>
  <c r="G17" i="43"/>
  <c r="F17" i="43"/>
  <c r="E17" i="43"/>
  <c r="D17" i="43"/>
  <c r="C17" i="43"/>
  <c r="B17" i="43"/>
  <c r="BG16" i="43"/>
  <c r="BN15" i="43"/>
  <c r="BM15" i="43"/>
  <c r="BL15" i="43"/>
  <c r="H15" i="43"/>
  <c r="G15" i="43"/>
  <c r="F15" i="43"/>
  <c r="E15" i="43"/>
  <c r="D15" i="43"/>
  <c r="C15" i="43"/>
  <c r="B15" i="43"/>
  <c r="BN13" i="43"/>
  <c r="BM13" i="43"/>
  <c r="BL13" i="43"/>
  <c r="H13" i="43"/>
  <c r="F13" i="43"/>
  <c r="E13" i="43"/>
  <c r="D13" i="43"/>
  <c r="B13" i="43"/>
  <c r="BN11" i="43"/>
  <c r="BM11" i="43"/>
  <c r="BL11" i="43"/>
  <c r="G11" i="43"/>
  <c r="F11" i="43"/>
  <c r="E11" i="43"/>
  <c r="D11" i="43"/>
  <c r="C11" i="43"/>
  <c r="B11" i="43"/>
  <c r="BH10" i="43"/>
  <c r="BN8" i="43"/>
  <c r="BM8" i="43"/>
  <c r="BL8" i="43"/>
  <c r="BF8" i="43"/>
  <c r="AZ8" i="43"/>
  <c r="AY8" i="43"/>
  <c r="AX8" i="43"/>
  <c r="AU8" i="43"/>
  <c r="AT8" i="43"/>
  <c r="AR8" i="43"/>
  <c r="AQ8" i="43"/>
  <c r="AP8" i="43"/>
  <c r="AM8" i="43"/>
  <c r="AJ8" i="43"/>
  <c r="AE8" i="43"/>
  <c r="AD8" i="43"/>
  <c r="AC8" i="43"/>
  <c r="AB8" i="43"/>
  <c r="AA8" i="43"/>
  <c r="Z8" i="43"/>
  <c r="W8" i="43"/>
  <c r="T8" i="43"/>
  <c r="S8" i="43"/>
  <c r="R8" i="43"/>
  <c r="O8" i="43"/>
  <c r="N8" i="43"/>
  <c r="M8" i="43"/>
  <c r="L8" i="43"/>
  <c r="H8" i="43"/>
  <c r="G8" i="43"/>
  <c r="F8" i="43"/>
  <c r="D8" i="43"/>
  <c r="C8" i="43"/>
  <c r="B8" i="43"/>
  <c r="BN5" i="43"/>
  <c r="AM5" i="43"/>
  <c r="AC5" i="43"/>
  <c r="O20" i="40"/>
  <c r="O19" i="40" s="1"/>
  <c r="O14" i="40"/>
  <c r="O13" i="40" s="1"/>
  <c r="N7" i="40"/>
  <c r="BB47" i="43" l="1"/>
  <c r="BC47" i="43" s="1"/>
  <c r="BB38" i="43"/>
  <c r="BC38" i="43" s="1"/>
  <c r="T40" i="43"/>
  <c r="BH43" i="43"/>
  <c r="BG24" i="43"/>
  <c r="G40" i="43"/>
  <c r="G33" i="43" s="1"/>
  <c r="BB43" i="43"/>
  <c r="BC43" i="43" s="1"/>
  <c r="BH48" i="43"/>
  <c r="BB39" i="43"/>
  <c r="BC39" i="43" s="1"/>
  <c r="BB46" i="43"/>
  <c r="BC46" i="43" s="1"/>
  <c r="BH39" i="43"/>
  <c r="BH37" i="43"/>
  <c r="BB37" i="43"/>
  <c r="BC37" i="43" s="1"/>
  <c r="BB42" i="43"/>
  <c r="BC42" i="43" s="1"/>
  <c r="BB44" i="43"/>
  <c r="BC44" i="43" s="1"/>
  <c r="BH42" i="43"/>
  <c r="BH47" i="43"/>
  <c r="BB48" i="43"/>
  <c r="BC48" i="43" s="1"/>
  <c r="BH46" i="43"/>
  <c r="AS50" i="43"/>
  <c r="BB36" i="43"/>
  <c r="BC36" i="43" s="1"/>
  <c r="BA13" i="43"/>
  <c r="AN23" i="43"/>
  <c r="M40" i="43"/>
  <c r="M33" i="43" s="1"/>
  <c r="AK40" i="43"/>
  <c r="AK33" i="43"/>
  <c r="AS11" i="43"/>
  <c r="BM40" i="43"/>
  <c r="BM33" i="43" s="1"/>
  <c r="AY5" i="43"/>
  <c r="C5" i="43"/>
  <c r="AJ5" i="43"/>
  <c r="AJ40" i="43"/>
  <c r="AJ33" i="43" s="1"/>
  <c r="R33" i="43"/>
  <c r="BN33" i="43"/>
  <c r="AY23" i="43"/>
  <c r="AW13" i="43"/>
  <c r="AH11" i="43"/>
  <c r="AI11" i="43" s="1"/>
  <c r="BG15" i="43"/>
  <c r="AH15" i="43"/>
  <c r="AI15" i="43" s="1"/>
  <c r="AL23" i="43"/>
  <c r="AF23" i="43"/>
  <c r="BG28" i="43"/>
  <c r="W23" i="43"/>
  <c r="Y23" i="43"/>
  <c r="Z23" i="43"/>
  <c r="F23" i="43"/>
  <c r="P23" i="43"/>
  <c r="AA23" i="43"/>
  <c r="AS31" i="43"/>
  <c r="AE23" i="43"/>
  <c r="AC33" i="43"/>
  <c r="AG33" i="43"/>
  <c r="AA33" i="43"/>
  <c r="AZ5" i="43"/>
  <c r="AL40" i="43"/>
  <c r="AL33" i="43" s="1"/>
  <c r="W5" i="43"/>
  <c r="W40" i="43"/>
  <c r="Y40" i="43"/>
  <c r="Y33" i="43" s="1"/>
  <c r="AU40" i="43"/>
  <c r="AU33" i="43" s="1"/>
  <c r="AR5" i="43"/>
  <c r="AD40" i="43"/>
  <c r="AD33" i="43" s="1"/>
  <c r="Z33" i="43"/>
  <c r="AR33" i="43"/>
  <c r="BG50" i="43"/>
  <c r="O40" i="43"/>
  <c r="O33" i="43" s="1"/>
  <c r="I33" i="43"/>
  <c r="J50" i="43"/>
  <c r="K50" i="43" s="1"/>
  <c r="E33" i="43"/>
  <c r="N40" i="43"/>
  <c r="N33" i="43" s="1"/>
  <c r="B40" i="43"/>
  <c r="B33" i="43" s="1"/>
  <c r="G23" i="43"/>
  <c r="J15" i="43"/>
  <c r="K15" i="43" s="1"/>
  <c r="BN23" i="43"/>
  <c r="BM23" i="43"/>
  <c r="BN7" i="43"/>
  <c r="BL7" i="43"/>
  <c r="D33" i="43"/>
  <c r="F40" i="43"/>
  <c r="F33" i="43" s="1"/>
  <c r="AO40" i="43"/>
  <c r="AO33" i="43" s="1"/>
  <c r="AP5" i="43"/>
  <c r="Z5" i="43"/>
  <c r="R5" i="43"/>
  <c r="AB5" i="43"/>
  <c r="BE33" i="43"/>
  <c r="AE40" i="43"/>
  <c r="AE33" i="43" s="1"/>
  <c r="BF40" i="43"/>
  <c r="BF33" i="43" s="1"/>
  <c r="Q33" i="43"/>
  <c r="AB33" i="43"/>
  <c r="L40" i="43"/>
  <c r="L33" i="43" s="1"/>
  <c r="AU5" i="43"/>
  <c r="L5" i="43"/>
  <c r="AT40" i="43"/>
  <c r="AT33" i="43" s="1"/>
  <c r="AT5" i="43"/>
  <c r="Q5" i="43"/>
  <c r="AP33" i="43"/>
  <c r="AQ5" i="43"/>
  <c r="AA5" i="43"/>
  <c r="C33" i="43"/>
  <c r="AX33" i="43"/>
  <c r="AM33" i="43"/>
  <c r="AY33" i="43"/>
  <c r="S33" i="43"/>
  <c r="AQ33" i="43"/>
  <c r="W33" i="43"/>
  <c r="AU23" i="43"/>
  <c r="AH31" i="43"/>
  <c r="AI31" i="43" s="1"/>
  <c r="N23" i="43"/>
  <c r="BF23" i="43"/>
  <c r="AH28" i="43"/>
  <c r="AI28" i="43" s="1"/>
  <c r="AX23" i="43"/>
  <c r="AO23" i="43"/>
  <c r="I23" i="43"/>
  <c r="S23" i="43"/>
  <c r="C23" i="43"/>
  <c r="O23" i="43"/>
  <c r="AM23" i="43"/>
  <c r="AV23" i="43"/>
  <c r="L23" i="43"/>
  <c r="E23" i="43"/>
  <c r="AG23" i="43"/>
  <c r="Q23" i="43"/>
  <c r="BE23" i="43"/>
  <c r="AR23" i="43"/>
  <c r="H23" i="43"/>
  <c r="AB23" i="43"/>
  <c r="J21" i="43"/>
  <c r="K21" i="43" s="1"/>
  <c r="AS21" i="43"/>
  <c r="AH21" i="43"/>
  <c r="AI21" i="43" s="1"/>
  <c r="AW21" i="43"/>
  <c r="U21" i="43"/>
  <c r="V21" i="43" s="1"/>
  <c r="BA21" i="43"/>
  <c r="BA17" i="43"/>
  <c r="H7" i="43"/>
  <c r="J17" i="43"/>
  <c r="K17" i="43" s="1"/>
  <c r="AW17" i="43"/>
  <c r="AH17" i="43"/>
  <c r="AI17" i="43" s="1"/>
  <c r="AS17" i="43"/>
  <c r="U17" i="43"/>
  <c r="V17" i="43" s="1"/>
  <c r="AW15" i="43"/>
  <c r="AS15" i="43"/>
  <c r="U15" i="43"/>
  <c r="V15" i="43" s="1"/>
  <c r="BA15" i="43"/>
  <c r="BB15" i="43" s="1"/>
  <c r="J13" i="43"/>
  <c r="K13" i="43" s="1"/>
  <c r="AS13" i="43"/>
  <c r="AA13" i="43"/>
  <c r="AH13" i="43" s="1"/>
  <c r="AI13" i="43" s="1"/>
  <c r="AQ13" i="43"/>
  <c r="AQ7" i="43" s="1"/>
  <c r="Z13" i="43"/>
  <c r="AP13" i="43"/>
  <c r="BG14" i="43"/>
  <c r="U13" i="43"/>
  <c r="V13" i="43" s="1"/>
  <c r="AX5" i="43"/>
  <c r="G7" i="43"/>
  <c r="AD5" i="43"/>
  <c r="B7" i="43"/>
  <c r="BG11" i="43"/>
  <c r="AC7" i="43"/>
  <c r="AM7" i="43"/>
  <c r="J11" i="43"/>
  <c r="K11" i="43" s="1"/>
  <c r="Z11" i="43"/>
  <c r="AP11" i="43"/>
  <c r="U11" i="43"/>
  <c r="V11" i="43" s="1"/>
  <c r="AX11" i="43"/>
  <c r="BA11" i="43" s="1"/>
  <c r="H5" i="43"/>
  <c r="O7" i="43"/>
  <c r="BG12" i="43"/>
  <c r="AW11" i="43"/>
  <c r="AV7" i="43"/>
  <c r="AF7" i="43"/>
  <c r="P7" i="43"/>
  <c r="AX7" i="43"/>
  <c r="AZ7" i="43"/>
  <c r="BF7" i="43"/>
  <c r="AJ7" i="43"/>
  <c r="BF5" i="43"/>
  <c r="L7" i="43"/>
  <c r="AR7" i="43"/>
  <c r="T7" i="43"/>
  <c r="AF5" i="43"/>
  <c r="BJ10" i="43"/>
  <c r="AS8" i="43"/>
  <c r="AL5" i="43"/>
  <c r="AV5" i="43"/>
  <c r="M7" i="43"/>
  <c r="AN5" i="43"/>
  <c r="BE8" i="43"/>
  <c r="BG8" i="43" s="1"/>
  <c r="AO8" i="43"/>
  <c r="AO5" i="43"/>
  <c r="AB7" i="43"/>
  <c r="Y5" i="43"/>
  <c r="AG5" i="43"/>
  <c r="BE5" i="43"/>
  <c r="BG9" i="43"/>
  <c r="Q7" i="43"/>
  <c r="R7" i="43"/>
  <c r="I7" i="43"/>
  <c r="F7" i="43"/>
  <c r="I5" i="43"/>
  <c r="P40" i="43"/>
  <c r="P33" i="43" s="1"/>
  <c r="P5" i="43"/>
  <c r="BG13" i="43"/>
  <c r="S7" i="43"/>
  <c r="AO7" i="43"/>
  <c r="U34" i="43"/>
  <c r="V34" i="43" s="1"/>
  <c r="N7" i="43"/>
  <c r="BG26" i="43"/>
  <c r="AS28" i="43"/>
  <c r="AJ23" i="43"/>
  <c r="BA8" i="43"/>
  <c r="AY7" i="43"/>
  <c r="AZ23" i="43"/>
  <c r="AU7" i="43"/>
  <c r="AW8" i="43"/>
  <c r="Y7" i="43"/>
  <c r="AG7" i="43"/>
  <c r="AK7" i="43"/>
  <c r="AQ23" i="43"/>
  <c r="BI36" i="43"/>
  <c r="BH36" i="43"/>
  <c r="W7" i="43"/>
  <c r="AN7" i="43"/>
  <c r="U28" i="43"/>
  <c r="V28" i="43" s="1"/>
  <c r="U31" i="43"/>
  <c r="V31" i="43" s="1"/>
  <c r="U24" i="43"/>
  <c r="V24" i="43" s="1"/>
  <c r="AD23" i="43"/>
  <c r="AH24" i="43"/>
  <c r="J31" i="43"/>
  <c r="K31" i="43" s="1"/>
  <c r="BL40" i="43"/>
  <c r="BL33" i="43" s="1"/>
  <c r="C7" i="43"/>
  <c r="U8" i="43"/>
  <c r="V8" i="43" s="1"/>
  <c r="AE7" i="43"/>
  <c r="BI10" i="43"/>
  <c r="D7" i="43"/>
  <c r="AH34" i="43"/>
  <c r="AI34" i="43" s="1"/>
  <c r="AN40" i="43"/>
  <c r="AN33" i="43" s="1"/>
  <c r="BH38" i="43"/>
  <c r="BI38" i="43"/>
  <c r="AH8" i="43"/>
  <c r="AI8" i="43" s="1"/>
  <c r="BM7" i="43"/>
  <c r="AD7" i="43"/>
  <c r="AL7" i="43"/>
  <c r="AT7" i="43"/>
  <c r="BG17" i="43"/>
  <c r="AT23" i="43"/>
  <c r="J34" i="43"/>
  <c r="K34" i="43" s="1"/>
  <c r="BG34" i="43"/>
  <c r="BI44" i="43"/>
  <c r="BH44" i="43"/>
  <c r="AV40" i="43"/>
  <c r="AV33" i="43" s="1"/>
  <c r="AP23" i="43"/>
  <c r="AK23" i="43"/>
  <c r="BG31" i="43"/>
  <c r="AZ33" i="43"/>
  <c r="U50" i="43"/>
  <c r="V50" i="43" s="1"/>
  <c r="B23" i="43"/>
  <c r="J24" i="43"/>
  <c r="K24" i="43" s="1"/>
  <c r="R23" i="43"/>
  <c r="J26" i="43"/>
  <c r="K26" i="43" s="1"/>
  <c r="AH26" i="43"/>
  <c r="AI26" i="43" s="1"/>
  <c r="AS34" i="43"/>
  <c r="AH50" i="43"/>
  <c r="AI50" i="43" s="1"/>
  <c r="AF40" i="43"/>
  <c r="AS23" i="43"/>
  <c r="M23" i="43"/>
  <c r="U26" i="43"/>
  <c r="V26" i="43" s="1"/>
  <c r="AC23" i="43"/>
  <c r="T33" i="43"/>
  <c r="BI45" i="43"/>
  <c r="BH49" i="43"/>
  <c r="E28" i="36"/>
  <c r="E50" i="36"/>
  <c r="E31" i="36"/>
  <c r="E26" i="36"/>
  <c r="E24" i="36"/>
  <c r="E17" i="36"/>
  <c r="E13" i="36"/>
  <c r="J10" i="36"/>
  <c r="U5" i="43" l="1"/>
  <c r="V5" i="43" s="1"/>
  <c r="T4" i="43"/>
  <c r="E23" i="36"/>
  <c r="BB13" i="43"/>
  <c r="AA7" i="43"/>
  <c r="BB17" i="43"/>
  <c r="BM4" i="43"/>
  <c r="AS40" i="43"/>
  <c r="AS5" i="43"/>
  <c r="E40" i="36"/>
  <c r="E6" i="43"/>
  <c r="BB11" i="43"/>
  <c r="Z7" i="43"/>
  <c r="Z4" i="43" s="1"/>
  <c r="J10" i="43"/>
  <c r="AP7" i="43"/>
  <c r="AP4" i="43" s="1"/>
  <c r="AL4" i="43"/>
  <c r="Y4" i="43"/>
  <c r="BG23" i="43"/>
  <c r="AG4" i="43"/>
  <c r="AS33" i="43"/>
  <c r="AR4" i="43"/>
  <c r="BA5" i="43"/>
  <c r="AO4" i="43"/>
  <c r="BG40" i="43"/>
  <c r="AU4" i="43"/>
  <c r="AH40" i="43"/>
  <c r="AI40" i="43" s="1"/>
  <c r="BN4" i="43"/>
  <c r="BG33" i="43"/>
  <c r="U40" i="43"/>
  <c r="V40" i="43" s="1"/>
  <c r="AW5" i="43"/>
  <c r="C4" i="43"/>
  <c r="J40" i="43"/>
  <c r="K40" i="43" s="1"/>
  <c r="F4" i="43"/>
  <c r="W4" i="43"/>
  <c r="AE4" i="43"/>
  <c r="B4" i="43"/>
  <c r="J33" i="43"/>
  <c r="K33" i="43" s="1"/>
  <c r="G4" i="43"/>
  <c r="AY4" i="43"/>
  <c r="AX4" i="43"/>
  <c r="O4" i="43"/>
  <c r="I4" i="43"/>
  <c r="AM4" i="43"/>
  <c r="BF4" i="43"/>
  <c r="Q4" i="43"/>
  <c r="AB4" i="43"/>
  <c r="S4" i="43"/>
  <c r="H4" i="43"/>
  <c r="AT4" i="43"/>
  <c r="AC4" i="43"/>
  <c r="BB21" i="43"/>
  <c r="AV4" i="43"/>
  <c r="BG5" i="43"/>
  <c r="BA7" i="43"/>
  <c r="AJ4" i="43"/>
  <c r="AQ4" i="43"/>
  <c r="P4" i="43"/>
  <c r="M4" i="43"/>
  <c r="AZ4" i="43"/>
  <c r="L4" i="43"/>
  <c r="AH5" i="43"/>
  <c r="AI5" i="43" s="1"/>
  <c r="AS7" i="43"/>
  <c r="R4" i="43"/>
  <c r="BE7" i="43"/>
  <c r="BE4" i="43" s="1"/>
  <c r="BB8" i="43"/>
  <c r="AW7" i="43"/>
  <c r="AK4" i="43"/>
  <c r="AD4" i="43"/>
  <c r="AH23" i="43"/>
  <c r="AI23" i="43" s="1"/>
  <c r="AI24" i="43"/>
  <c r="U23" i="43"/>
  <c r="V23" i="43" s="1"/>
  <c r="U33" i="43"/>
  <c r="V33" i="43" s="1"/>
  <c r="N4" i="43"/>
  <c r="U7" i="43"/>
  <c r="V7" i="43" s="1"/>
  <c r="AF33" i="43"/>
  <c r="AN4" i="43"/>
  <c r="AA4" i="43"/>
  <c r="AH7" i="43"/>
  <c r="AI7" i="43" s="1"/>
  <c r="BB5" i="43" l="1"/>
  <c r="AS4" i="43"/>
  <c r="BA4" i="43"/>
  <c r="AW4" i="43"/>
  <c r="BG4" i="43"/>
  <c r="BB7" i="43"/>
  <c r="U4" i="43"/>
  <c r="V4" i="43" s="1"/>
  <c r="BG7" i="43"/>
  <c r="AF4" i="43"/>
  <c r="AH4" i="43" s="1"/>
  <c r="AI4" i="43" s="1"/>
  <c r="AH33" i="43"/>
  <c r="AI33" i="43" s="1"/>
  <c r="BB4" i="43" l="1"/>
  <c r="B7" i="42"/>
  <c r="BL32" i="36" l="1"/>
  <c r="BL32" i="43" l="1"/>
  <c r="C24" i="36"/>
  <c r="BL31" i="43" l="1"/>
  <c r="BL5" i="43"/>
  <c r="Q51" i="42"/>
  <c r="R51" i="42"/>
  <c r="S51" i="42"/>
  <c r="Q52" i="42"/>
  <c r="R52" i="42"/>
  <c r="S52" i="42"/>
  <c r="Q53" i="42"/>
  <c r="R53" i="42"/>
  <c r="S53" i="42"/>
  <c r="Q54" i="42"/>
  <c r="R54" i="42"/>
  <c r="S54" i="42"/>
  <c r="Q55" i="42"/>
  <c r="R55" i="42"/>
  <c r="S55" i="42"/>
  <c r="Q56" i="42"/>
  <c r="R56" i="42"/>
  <c r="S56" i="42"/>
  <c r="Q57" i="42"/>
  <c r="R57" i="42"/>
  <c r="S57" i="42"/>
  <c r="Q58" i="42"/>
  <c r="R58" i="42"/>
  <c r="S58" i="42"/>
  <c r="Q59" i="42"/>
  <c r="R59" i="42"/>
  <c r="S59" i="42"/>
  <c r="R50" i="42"/>
  <c r="S50" i="42"/>
  <c r="Q50" i="42"/>
  <c r="R34" i="42"/>
  <c r="S34" i="42"/>
  <c r="Q34" i="42"/>
  <c r="BL23" i="43" l="1"/>
  <c r="R31" i="42"/>
  <c r="S31" i="42"/>
  <c r="Q31" i="42"/>
  <c r="Q30" i="42" s="1"/>
  <c r="R28" i="42"/>
  <c r="S28" i="42"/>
  <c r="R29" i="42"/>
  <c r="S29" i="42"/>
  <c r="S27" i="42" s="1"/>
  <c r="Q29" i="42"/>
  <c r="Q28" i="42"/>
  <c r="R26" i="42"/>
  <c r="S26" i="42"/>
  <c r="S25" i="42" s="1"/>
  <c r="Q26" i="42"/>
  <c r="Q25" i="42" s="1"/>
  <c r="R23" i="42"/>
  <c r="S23" i="42"/>
  <c r="S22" i="42" s="1"/>
  <c r="R22" i="42"/>
  <c r="Q23" i="42"/>
  <c r="R20" i="42"/>
  <c r="R19" i="42" s="1"/>
  <c r="S20" i="42"/>
  <c r="S19" i="42" s="1"/>
  <c r="Q20" i="42"/>
  <c r="Q19" i="42" s="1"/>
  <c r="R16" i="42"/>
  <c r="S16" i="42"/>
  <c r="R17" i="42"/>
  <c r="S17" i="42"/>
  <c r="R18" i="42"/>
  <c r="S18" i="42"/>
  <c r="Q17" i="42"/>
  <c r="Q15" i="42" s="1"/>
  <c r="Q18" i="42"/>
  <c r="Q16" i="42"/>
  <c r="R14" i="42"/>
  <c r="R13" i="42" s="1"/>
  <c r="S14" i="42"/>
  <c r="S13" i="42" s="1"/>
  <c r="Q14" i="42"/>
  <c r="R12" i="42"/>
  <c r="R11" i="42" s="1"/>
  <c r="S12" i="42"/>
  <c r="Q12" i="42"/>
  <c r="Q11" i="42" s="1"/>
  <c r="R10" i="42"/>
  <c r="R9" i="42" s="1"/>
  <c r="S10" i="42"/>
  <c r="Q10" i="42"/>
  <c r="Q9" i="42" s="1"/>
  <c r="R7" i="42"/>
  <c r="S7" i="42"/>
  <c r="R8" i="42"/>
  <c r="S8" i="42"/>
  <c r="Q8" i="42"/>
  <c r="Q7" i="42"/>
  <c r="J50" i="42"/>
  <c r="K50" i="42"/>
  <c r="L50" i="42"/>
  <c r="M50" i="42"/>
  <c r="O50" i="42" s="1"/>
  <c r="J51" i="42"/>
  <c r="K51" i="42"/>
  <c r="L51" i="42"/>
  <c r="M51" i="42"/>
  <c r="P51" i="42" s="1"/>
  <c r="J52" i="42"/>
  <c r="K52" i="42"/>
  <c r="L52" i="42"/>
  <c r="M52" i="42"/>
  <c r="J53" i="42"/>
  <c r="K53" i="42"/>
  <c r="L53" i="42"/>
  <c r="M53" i="42"/>
  <c r="O53" i="42" s="1"/>
  <c r="J54" i="42"/>
  <c r="K54" i="42"/>
  <c r="L54" i="42"/>
  <c r="M54" i="42"/>
  <c r="P54" i="42" s="1"/>
  <c r="J55" i="42"/>
  <c r="K55" i="42"/>
  <c r="L55" i="42"/>
  <c r="M55" i="42"/>
  <c r="P55" i="42" s="1"/>
  <c r="J56" i="42"/>
  <c r="N56" i="42" s="1"/>
  <c r="K56" i="42"/>
  <c r="L56" i="42"/>
  <c r="M56" i="42"/>
  <c r="P56" i="42" s="1"/>
  <c r="J57" i="42"/>
  <c r="K57" i="42"/>
  <c r="L57" i="42"/>
  <c r="M57" i="42"/>
  <c r="O57" i="42" s="1"/>
  <c r="J58" i="42"/>
  <c r="K58" i="42"/>
  <c r="L58" i="42"/>
  <c r="M58" i="42"/>
  <c r="J59" i="42"/>
  <c r="K59" i="42"/>
  <c r="L59" i="42"/>
  <c r="M59" i="42"/>
  <c r="N59" i="42" s="1"/>
  <c r="I51" i="42"/>
  <c r="I52" i="42"/>
  <c r="I53" i="42"/>
  <c r="I54" i="42"/>
  <c r="I55" i="42"/>
  <c r="I56" i="42"/>
  <c r="I57" i="42"/>
  <c r="I58" i="42"/>
  <c r="I59" i="42"/>
  <c r="I50" i="42"/>
  <c r="J40" i="42"/>
  <c r="M40" i="42"/>
  <c r="I40" i="42"/>
  <c r="J34" i="42"/>
  <c r="K34" i="42"/>
  <c r="K33" i="42" s="1"/>
  <c r="L34" i="42"/>
  <c r="L33" i="42" s="1"/>
  <c r="M34" i="42"/>
  <c r="P34" i="42" s="1"/>
  <c r="I34" i="42"/>
  <c r="I33" i="42" s="1"/>
  <c r="J31" i="42"/>
  <c r="J30" i="42" s="1"/>
  <c r="K31" i="42"/>
  <c r="K30" i="42" s="1"/>
  <c r="L31" i="42"/>
  <c r="L30" i="42" s="1"/>
  <c r="M31" i="42"/>
  <c r="M30" i="42" s="1"/>
  <c r="I31" i="42"/>
  <c r="I30" i="42" s="1"/>
  <c r="I29" i="42"/>
  <c r="J29" i="42"/>
  <c r="J27" i="42" s="1"/>
  <c r="K29" i="42"/>
  <c r="L29" i="42"/>
  <c r="M29" i="42"/>
  <c r="J28" i="42"/>
  <c r="K28" i="42"/>
  <c r="L28" i="42"/>
  <c r="M28" i="42"/>
  <c r="O28" i="42" s="1"/>
  <c r="I28" i="42"/>
  <c r="J26" i="42"/>
  <c r="J25" i="42" s="1"/>
  <c r="K26" i="42"/>
  <c r="K25" i="42" s="1"/>
  <c r="L26" i="42"/>
  <c r="L25" i="42" s="1"/>
  <c r="M26" i="42"/>
  <c r="I26" i="42"/>
  <c r="J23" i="42"/>
  <c r="J22" i="42" s="1"/>
  <c r="K23" i="42"/>
  <c r="K22" i="42" s="1"/>
  <c r="L23" i="42"/>
  <c r="L22" i="42" s="1"/>
  <c r="M23" i="42"/>
  <c r="P23" i="42" s="1"/>
  <c r="I23" i="42"/>
  <c r="J20" i="42"/>
  <c r="K20" i="42"/>
  <c r="K19" i="42" s="1"/>
  <c r="L20" i="42"/>
  <c r="L19" i="42" s="1"/>
  <c r="M20" i="42"/>
  <c r="I20" i="42"/>
  <c r="I19" i="42" s="1"/>
  <c r="J16" i="42"/>
  <c r="K16" i="42"/>
  <c r="L16" i="42"/>
  <c r="M16" i="42"/>
  <c r="O16" i="42" s="1"/>
  <c r="J17" i="42"/>
  <c r="K17" i="42"/>
  <c r="L17" i="42"/>
  <c r="M17" i="42"/>
  <c r="J18" i="42"/>
  <c r="K18" i="42"/>
  <c r="L18" i="42"/>
  <c r="M18" i="42"/>
  <c r="I17" i="42"/>
  <c r="I18" i="42"/>
  <c r="I16" i="42"/>
  <c r="J14" i="42"/>
  <c r="J13" i="42" s="1"/>
  <c r="K14" i="42"/>
  <c r="K13" i="42" s="1"/>
  <c r="L14" i="42"/>
  <c r="L13" i="42" s="1"/>
  <c r="M14" i="42"/>
  <c r="I14" i="42"/>
  <c r="J12" i="42"/>
  <c r="K12" i="42"/>
  <c r="K11" i="42" s="1"/>
  <c r="L12" i="42"/>
  <c r="L11" i="42" s="1"/>
  <c r="M12" i="42"/>
  <c r="M11" i="42" s="1"/>
  <c r="I12" i="42"/>
  <c r="I11" i="42" s="1"/>
  <c r="J10" i="42"/>
  <c r="K10" i="42"/>
  <c r="K9" i="42" s="1"/>
  <c r="L10" i="42"/>
  <c r="M10" i="42"/>
  <c r="M9" i="42" s="1"/>
  <c r="I10" i="42"/>
  <c r="J7" i="42"/>
  <c r="K7" i="42"/>
  <c r="L7" i="42"/>
  <c r="M7" i="42"/>
  <c r="J8" i="42"/>
  <c r="K8" i="42"/>
  <c r="L8" i="42"/>
  <c r="M8" i="42"/>
  <c r="P8" i="42" s="1"/>
  <c r="I8" i="42"/>
  <c r="I7" i="42"/>
  <c r="J4" i="42"/>
  <c r="K4" i="42"/>
  <c r="L4" i="42"/>
  <c r="M4" i="42"/>
  <c r="I4" i="42"/>
  <c r="C50" i="42"/>
  <c r="D50" i="42"/>
  <c r="C51" i="42"/>
  <c r="D51" i="42"/>
  <c r="C52" i="42"/>
  <c r="D52" i="42"/>
  <c r="C53" i="42"/>
  <c r="D53" i="42"/>
  <c r="C54" i="42"/>
  <c r="D54" i="42"/>
  <c r="C55" i="42"/>
  <c r="D55" i="42"/>
  <c r="C56" i="42"/>
  <c r="D56" i="42"/>
  <c r="C57" i="42"/>
  <c r="D57" i="42"/>
  <c r="C58" i="42"/>
  <c r="D58" i="42"/>
  <c r="C59" i="42"/>
  <c r="D59" i="42"/>
  <c r="B51" i="42"/>
  <c r="B52" i="42"/>
  <c r="B53" i="42"/>
  <c r="B54" i="42"/>
  <c r="B55" i="42"/>
  <c r="B56" i="42"/>
  <c r="B57" i="42"/>
  <c r="B58" i="42"/>
  <c r="B59" i="42"/>
  <c r="B50" i="42"/>
  <c r="C40" i="42"/>
  <c r="D40" i="42"/>
  <c r="B40" i="42"/>
  <c r="C34" i="42"/>
  <c r="C33" i="42" s="1"/>
  <c r="D34" i="42"/>
  <c r="B34" i="42"/>
  <c r="B33" i="42" s="1"/>
  <c r="C31" i="42"/>
  <c r="D31" i="42"/>
  <c r="B31" i="42"/>
  <c r="C28" i="42"/>
  <c r="D28" i="42"/>
  <c r="C29" i="42"/>
  <c r="D29" i="42"/>
  <c r="B29" i="42"/>
  <c r="B28" i="42"/>
  <c r="C26" i="42"/>
  <c r="C25" i="42" s="1"/>
  <c r="D26" i="42"/>
  <c r="D25" i="42" s="1"/>
  <c r="B26" i="42"/>
  <c r="C23" i="42"/>
  <c r="C22" i="42" s="1"/>
  <c r="D23" i="42"/>
  <c r="D22" i="42" s="1"/>
  <c r="B23" i="42"/>
  <c r="C20" i="42"/>
  <c r="C19" i="42" s="1"/>
  <c r="D20" i="42"/>
  <c r="D19" i="42" s="1"/>
  <c r="B20" i="42"/>
  <c r="B19" i="42" s="1"/>
  <c r="C16" i="42"/>
  <c r="D16" i="42"/>
  <c r="C17" i="42"/>
  <c r="D17" i="42"/>
  <c r="C18" i="42"/>
  <c r="D18" i="42"/>
  <c r="B17" i="42"/>
  <c r="B18" i="42"/>
  <c r="B16" i="42"/>
  <c r="C14" i="42"/>
  <c r="C13" i="42" s="1"/>
  <c r="D14" i="42"/>
  <c r="D13" i="42" s="1"/>
  <c r="B14" i="42"/>
  <c r="B13" i="42" s="1"/>
  <c r="C12" i="42"/>
  <c r="C11" i="42" s="1"/>
  <c r="D12" i="42"/>
  <c r="B12" i="42"/>
  <c r="B11" i="42" s="1"/>
  <c r="C10" i="42"/>
  <c r="C9" i="42" s="1"/>
  <c r="D10" i="42"/>
  <c r="D9" i="42" s="1"/>
  <c r="B10" i="42"/>
  <c r="B9" i="42" s="1"/>
  <c r="C8" i="42"/>
  <c r="D8" i="42"/>
  <c r="B8" i="42"/>
  <c r="C7" i="42"/>
  <c r="D7" i="42"/>
  <c r="E7" i="42"/>
  <c r="C4" i="42"/>
  <c r="D4" i="42"/>
  <c r="B4" i="42"/>
  <c r="E4" i="42" s="1"/>
  <c r="B118" i="42"/>
  <c r="M109" i="42"/>
  <c r="L109" i="42"/>
  <c r="L99" i="42" s="1"/>
  <c r="K109" i="42"/>
  <c r="K99" i="42" s="1"/>
  <c r="J109" i="42"/>
  <c r="J99" i="42" s="1"/>
  <c r="I109" i="42"/>
  <c r="F109" i="42"/>
  <c r="F99" i="42" s="1"/>
  <c r="E109" i="42"/>
  <c r="E99" i="42" s="1"/>
  <c r="D109" i="42"/>
  <c r="D99" i="42" s="1"/>
  <c r="D91" i="42" s="1"/>
  <c r="C109" i="42"/>
  <c r="B109" i="42"/>
  <c r="B99" i="42" s="1"/>
  <c r="M99" i="42"/>
  <c r="I99" i="42"/>
  <c r="C99" i="42"/>
  <c r="M92" i="42"/>
  <c r="M91" i="42" s="1"/>
  <c r="L92" i="42"/>
  <c r="K92" i="42"/>
  <c r="J92" i="42"/>
  <c r="I92" i="42"/>
  <c r="F92" i="42"/>
  <c r="E92" i="42"/>
  <c r="D92" i="42"/>
  <c r="C92" i="42"/>
  <c r="C91" i="42" s="1"/>
  <c r="B92" i="42"/>
  <c r="M89" i="42"/>
  <c r="L89" i="42"/>
  <c r="K89" i="42"/>
  <c r="J89" i="42"/>
  <c r="I89" i="42"/>
  <c r="F89" i="42"/>
  <c r="E89" i="42"/>
  <c r="D89" i="42"/>
  <c r="C89" i="42"/>
  <c r="B89" i="42"/>
  <c r="M86" i="42"/>
  <c r="L86" i="42"/>
  <c r="K86" i="42"/>
  <c r="J86" i="42"/>
  <c r="I86" i="42"/>
  <c r="F86" i="42"/>
  <c r="E86" i="42"/>
  <c r="D86" i="42"/>
  <c r="C86" i="42"/>
  <c r="B86" i="42"/>
  <c r="M84" i="42"/>
  <c r="L84" i="42"/>
  <c r="K84" i="42"/>
  <c r="J84" i="42"/>
  <c r="I84" i="42"/>
  <c r="F84" i="42"/>
  <c r="F77" i="42" s="1"/>
  <c r="E84" i="42"/>
  <c r="E77" i="42" s="1"/>
  <c r="D84" i="42"/>
  <c r="C84" i="42"/>
  <c r="B84" i="42"/>
  <c r="M78" i="42"/>
  <c r="L78" i="42"/>
  <c r="K78" i="42"/>
  <c r="J78" i="42"/>
  <c r="I78" i="42"/>
  <c r="F78" i="42"/>
  <c r="E78" i="42"/>
  <c r="D78" i="42"/>
  <c r="C78" i="42"/>
  <c r="B78" i="42"/>
  <c r="M75" i="42"/>
  <c r="L75" i="42"/>
  <c r="K75" i="42"/>
  <c r="J75" i="42"/>
  <c r="I75" i="42"/>
  <c r="F75" i="42"/>
  <c r="E75" i="42"/>
  <c r="D75" i="42"/>
  <c r="C75" i="42"/>
  <c r="B75" i="42"/>
  <c r="M71" i="42"/>
  <c r="L71" i="42"/>
  <c r="K71" i="42"/>
  <c r="J71" i="42"/>
  <c r="I71" i="42"/>
  <c r="F71" i="42"/>
  <c r="E71" i="42"/>
  <c r="D71" i="42"/>
  <c r="C71" i="42"/>
  <c r="B71" i="42"/>
  <c r="M69" i="42"/>
  <c r="L69" i="42"/>
  <c r="K69" i="42"/>
  <c r="J69" i="42"/>
  <c r="I69" i="42"/>
  <c r="F69" i="42"/>
  <c r="E69" i="42"/>
  <c r="D69" i="42"/>
  <c r="C69" i="42"/>
  <c r="B69" i="42"/>
  <c r="M67" i="42"/>
  <c r="L67" i="42"/>
  <c r="K67" i="42"/>
  <c r="J67" i="42"/>
  <c r="I67" i="42"/>
  <c r="F67" i="42"/>
  <c r="E67" i="42"/>
  <c r="D67" i="42"/>
  <c r="C67" i="42"/>
  <c r="B67" i="42"/>
  <c r="M65" i="42"/>
  <c r="M61" i="42" s="1"/>
  <c r="L65" i="42"/>
  <c r="K65" i="42"/>
  <c r="J65" i="42"/>
  <c r="I65" i="42"/>
  <c r="F65" i="42"/>
  <c r="E65" i="42"/>
  <c r="D65" i="42"/>
  <c r="D61" i="42" s="1"/>
  <c r="C65" i="42"/>
  <c r="B65" i="42"/>
  <c r="M62" i="42"/>
  <c r="L62" i="42"/>
  <c r="K62" i="42"/>
  <c r="J62" i="42"/>
  <c r="I62" i="42"/>
  <c r="F62" i="42"/>
  <c r="E62" i="42"/>
  <c r="D62" i="42"/>
  <c r="C62" i="42"/>
  <c r="C61" i="42" s="1"/>
  <c r="B62" i="42"/>
  <c r="F59" i="42"/>
  <c r="F58" i="42"/>
  <c r="F57" i="42"/>
  <c r="O56" i="42"/>
  <c r="F56" i="42"/>
  <c r="F55" i="42"/>
  <c r="O54" i="42"/>
  <c r="N54" i="42"/>
  <c r="F54" i="42"/>
  <c r="F53" i="42"/>
  <c r="P52" i="42"/>
  <c r="O52" i="42"/>
  <c r="F52" i="42"/>
  <c r="F51" i="42"/>
  <c r="F49" i="42" s="1"/>
  <c r="S49" i="42"/>
  <c r="S39" i="42" s="1"/>
  <c r="R49" i="42"/>
  <c r="R39" i="42" s="1"/>
  <c r="Q49" i="42"/>
  <c r="Q39" i="42" s="1"/>
  <c r="P48" i="42"/>
  <c r="O48" i="42"/>
  <c r="N48" i="42"/>
  <c r="E48" i="42"/>
  <c r="H48" i="42" s="1"/>
  <c r="P47" i="42"/>
  <c r="O47" i="42"/>
  <c r="N47" i="42"/>
  <c r="E47" i="42"/>
  <c r="G47" i="42" s="1"/>
  <c r="P46" i="42"/>
  <c r="O46" i="42"/>
  <c r="N46" i="42"/>
  <c r="E46" i="42"/>
  <c r="G46" i="42" s="1"/>
  <c r="P45" i="42"/>
  <c r="O45" i="42"/>
  <c r="N45" i="42"/>
  <c r="E45" i="42"/>
  <c r="G45" i="42" s="1"/>
  <c r="P44" i="42"/>
  <c r="O44" i="42"/>
  <c r="N44" i="42"/>
  <c r="E44" i="42"/>
  <c r="G44" i="42" s="1"/>
  <c r="P43" i="42"/>
  <c r="O43" i="42"/>
  <c r="N43" i="42"/>
  <c r="E43" i="42"/>
  <c r="H43" i="42" s="1"/>
  <c r="P42" i="42"/>
  <c r="O42" i="42"/>
  <c r="N42" i="42"/>
  <c r="E42" i="42"/>
  <c r="G42" i="42" s="1"/>
  <c r="P41" i="42"/>
  <c r="O41" i="42"/>
  <c r="E41" i="42"/>
  <c r="H41" i="42" s="1"/>
  <c r="F40" i="42"/>
  <c r="P38" i="42"/>
  <c r="O38" i="42"/>
  <c r="N38" i="42"/>
  <c r="E38" i="42"/>
  <c r="H38" i="42" s="1"/>
  <c r="P37" i="42"/>
  <c r="O37" i="42"/>
  <c r="N37" i="42"/>
  <c r="E37" i="42"/>
  <c r="G37" i="42" s="1"/>
  <c r="P36" i="42"/>
  <c r="O36" i="42"/>
  <c r="N36" i="42"/>
  <c r="E36" i="42"/>
  <c r="H36" i="42" s="1"/>
  <c r="N35" i="42"/>
  <c r="F35" i="42"/>
  <c r="E35" i="42"/>
  <c r="H35" i="42" s="1"/>
  <c r="F34" i="42"/>
  <c r="F33" i="42" s="1"/>
  <c r="S33" i="42"/>
  <c r="R33" i="42"/>
  <c r="Q33" i="42"/>
  <c r="J33" i="42"/>
  <c r="P31" i="42"/>
  <c r="F31" i="42"/>
  <c r="F30" i="42" s="1"/>
  <c r="S30" i="42"/>
  <c r="R30" i="42"/>
  <c r="D30" i="42"/>
  <c r="C30" i="42"/>
  <c r="F29" i="42"/>
  <c r="F28" i="42"/>
  <c r="F27" i="42" s="1"/>
  <c r="F26" i="42"/>
  <c r="F25" i="42" s="1"/>
  <c r="R25" i="42"/>
  <c r="M25" i="42"/>
  <c r="I25" i="42"/>
  <c r="P24" i="42"/>
  <c r="O24" i="42"/>
  <c r="N24" i="42"/>
  <c r="E24" i="42"/>
  <c r="H24" i="42" s="1"/>
  <c r="F23" i="42"/>
  <c r="F22" i="42" s="1"/>
  <c r="I22" i="42"/>
  <c r="F20" i="42"/>
  <c r="J19" i="42"/>
  <c r="F19" i="42"/>
  <c r="F18" i="42"/>
  <c r="F17" i="42"/>
  <c r="F16" i="42"/>
  <c r="F15" i="42" s="1"/>
  <c r="F14" i="42"/>
  <c r="Q13" i="42"/>
  <c r="I13" i="42"/>
  <c r="F13" i="42"/>
  <c r="F12" i="42"/>
  <c r="S11" i="42"/>
  <c r="J11" i="42"/>
  <c r="F11" i="42"/>
  <c r="D11" i="42"/>
  <c r="P10" i="42"/>
  <c r="F10" i="42"/>
  <c r="F9" i="42" s="1"/>
  <c r="S9" i="42"/>
  <c r="L9" i="42"/>
  <c r="J9" i="42"/>
  <c r="F8" i="42"/>
  <c r="F6" i="42" s="1"/>
  <c r="F7" i="42"/>
  <c r="K6" i="42"/>
  <c r="L40" i="42"/>
  <c r="K40" i="42"/>
  <c r="BA25" i="36"/>
  <c r="AZ31" i="36"/>
  <c r="AY31" i="36"/>
  <c r="AX31" i="36"/>
  <c r="AV31" i="36"/>
  <c r="AU31" i="36"/>
  <c r="AZ28" i="36"/>
  <c r="AY28" i="36"/>
  <c r="AX28" i="36"/>
  <c r="AV28" i="36"/>
  <c r="AU28" i="36"/>
  <c r="AZ26" i="36"/>
  <c r="AY26" i="36"/>
  <c r="AX26" i="36"/>
  <c r="AV26" i="36"/>
  <c r="AU26" i="36"/>
  <c r="AZ24" i="36"/>
  <c r="AY24" i="36"/>
  <c r="AX24" i="36"/>
  <c r="AV24" i="36"/>
  <c r="AU24" i="36"/>
  <c r="AU23" i="36" s="1"/>
  <c r="AT24" i="36"/>
  <c r="AW25" i="36"/>
  <c r="AW25" i="43" s="1"/>
  <c r="AW24" i="43" s="1"/>
  <c r="AW27" i="36"/>
  <c r="BA27" i="36"/>
  <c r="AW29" i="36"/>
  <c r="BA29" i="36"/>
  <c r="BA29" i="43" s="1"/>
  <c r="AW30" i="36"/>
  <c r="BA30" i="36"/>
  <c r="BA30" i="43" s="1"/>
  <c r="AW32" i="36"/>
  <c r="BA32" i="36"/>
  <c r="AT31" i="36"/>
  <c r="AT28" i="36"/>
  <c r="AT26" i="36"/>
  <c r="C31" i="36"/>
  <c r="B31" i="36"/>
  <c r="L28" i="36"/>
  <c r="I28" i="36"/>
  <c r="H28" i="36"/>
  <c r="G28" i="36"/>
  <c r="F28" i="36"/>
  <c r="C28" i="36"/>
  <c r="B28" i="36"/>
  <c r="I26" i="36"/>
  <c r="H26" i="36"/>
  <c r="G26" i="36"/>
  <c r="F26" i="36"/>
  <c r="D26" i="36"/>
  <c r="C26" i="36"/>
  <c r="I24" i="36"/>
  <c r="H24" i="36"/>
  <c r="G24" i="36"/>
  <c r="F24" i="36"/>
  <c r="D24" i="36"/>
  <c r="B24" i="36"/>
  <c r="C23" i="36" l="1"/>
  <c r="BD25" i="36"/>
  <c r="BD25" i="43" s="1"/>
  <c r="BA31" i="36"/>
  <c r="BA32" i="43"/>
  <c r="BA31" i="43" s="1"/>
  <c r="BA28" i="43"/>
  <c r="E52" i="42"/>
  <c r="H52" i="42" s="1"/>
  <c r="N58" i="42"/>
  <c r="P50" i="42"/>
  <c r="J49" i="42"/>
  <c r="E56" i="42"/>
  <c r="H56" i="42" s="1"/>
  <c r="N51" i="42"/>
  <c r="AW31" i="36"/>
  <c r="BD32" i="36"/>
  <c r="BD32" i="43" s="1"/>
  <c r="AW32" i="43"/>
  <c r="AW31" i="43" s="1"/>
  <c r="BD30" i="36"/>
  <c r="BD30" i="43" s="1"/>
  <c r="BJ30" i="43" s="1"/>
  <c r="AW30" i="43"/>
  <c r="J21" i="42"/>
  <c r="BD29" i="36"/>
  <c r="BD29" i="43" s="1"/>
  <c r="AW29" i="43"/>
  <c r="C27" i="42"/>
  <c r="BA26" i="36"/>
  <c r="BA27" i="43"/>
  <c r="BA26" i="43" s="1"/>
  <c r="BD27" i="36"/>
  <c r="BD27" i="43" s="1"/>
  <c r="AW27" i="43"/>
  <c r="AW26" i="43" s="1"/>
  <c r="BA24" i="36"/>
  <c r="BA25" i="43"/>
  <c r="BA24" i="43" s="1"/>
  <c r="N55" i="42"/>
  <c r="O55" i="42"/>
  <c r="N52" i="42"/>
  <c r="N50" i="42"/>
  <c r="N40" i="42"/>
  <c r="M33" i="42"/>
  <c r="P33" i="42" s="1"/>
  <c r="M22" i="42"/>
  <c r="P22" i="42" s="1"/>
  <c r="O14" i="42"/>
  <c r="O13" i="42" s="1"/>
  <c r="M13" i="42"/>
  <c r="E10" i="42"/>
  <c r="H10" i="42" s="1"/>
  <c r="R6" i="42"/>
  <c r="C15" i="42"/>
  <c r="P17" i="42"/>
  <c r="C21" i="42"/>
  <c r="P26" i="42"/>
  <c r="S21" i="42"/>
  <c r="BL4" i="43"/>
  <c r="J6" i="42"/>
  <c r="M19" i="42"/>
  <c r="P19" i="42" s="1"/>
  <c r="O20" i="42"/>
  <c r="O19" i="42" s="1"/>
  <c r="N29" i="42"/>
  <c r="R27" i="42"/>
  <c r="R21" i="42" s="1"/>
  <c r="K27" i="42"/>
  <c r="K21" i="42" s="1"/>
  <c r="O18" i="42"/>
  <c r="L15" i="42"/>
  <c r="K15" i="42"/>
  <c r="N10" i="42"/>
  <c r="M6" i="42"/>
  <c r="O7" i="42"/>
  <c r="AV23" i="36"/>
  <c r="AX23" i="36"/>
  <c r="AZ23" i="36"/>
  <c r="AY23" i="36"/>
  <c r="BB27" i="36"/>
  <c r="BB27" i="43" s="1"/>
  <c r="BB26" i="43" s="1"/>
  <c r="AT23" i="36"/>
  <c r="E91" i="42"/>
  <c r="N20" i="42"/>
  <c r="Q32" i="42"/>
  <c r="K61" i="42"/>
  <c r="I61" i="42"/>
  <c r="E61" i="42"/>
  <c r="C77" i="42"/>
  <c r="M77" i="42"/>
  <c r="K77" i="42"/>
  <c r="I77" i="42"/>
  <c r="K91" i="42"/>
  <c r="E20" i="42"/>
  <c r="E19" i="42" s="1"/>
  <c r="B61" i="42"/>
  <c r="L61" i="42"/>
  <c r="D77" i="42"/>
  <c r="B91" i="42"/>
  <c r="L91" i="42"/>
  <c r="D6" i="42"/>
  <c r="N53" i="42"/>
  <c r="H47" i="42"/>
  <c r="F21" i="42"/>
  <c r="C6" i="42"/>
  <c r="D15" i="42"/>
  <c r="J15" i="42"/>
  <c r="J5" i="42" s="1"/>
  <c r="S15" i="42"/>
  <c r="E23" i="42"/>
  <c r="G23" i="42" s="1"/>
  <c r="N13" i="42"/>
  <c r="H37" i="42"/>
  <c r="N57" i="42"/>
  <c r="G35" i="42"/>
  <c r="F39" i="42"/>
  <c r="H44" i="42"/>
  <c r="M49" i="42"/>
  <c r="M39" i="42" s="1"/>
  <c r="M32" i="42" s="1"/>
  <c r="O51" i="42"/>
  <c r="I91" i="42"/>
  <c r="F91" i="42"/>
  <c r="H42" i="42"/>
  <c r="H46" i="42"/>
  <c r="J61" i="42"/>
  <c r="F61" i="42"/>
  <c r="B77" i="42"/>
  <c r="L77" i="42"/>
  <c r="J77" i="42"/>
  <c r="J91" i="42"/>
  <c r="N11" i="42"/>
  <c r="O29" i="42"/>
  <c r="E34" i="42"/>
  <c r="H34" i="42" s="1"/>
  <c r="N12" i="42"/>
  <c r="N26" i="42"/>
  <c r="E12" i="42"/>
  <c r="G12" i="42" s="1"/>
  <c r="E54" i="42"/>
  <c r="H54" i="42" s="1"/>
  <c r="N8" i="42"/>
  <c r="N16" i="42"/>
  <c r="I27" i="42"/>
  <c r="I21" i="42" s="1"/>
  <c r="L49" i="42"/>
  <c r="L39" i="42" s="1"/>
  <c r="L32" i="42" s="1"/>
  <c r="O12" i="42"/>
  <c r="D27" i="42"/>
  <c r="D21" i="42" s="1"/>
  <c r="E55" i="42"/>
  <c r="H55" i="42" s="1"/>
  <c r="N31" i="42"/>
  <c r="E57" i="42"/>
  <c r="G57" i="42" s="1"/>
  <c r="L6" i="42"/>
  <c r="L27" i="42"/>
  <c r="L21" i="42" s="1"/>
  <c r="Q6" i="42"/>
  <c r="Q5" i="42" s="1"/>
  <c r="E29" i="42"/>
  <c r="G29" i="42" s="1"/>
  <c r="K49" i="42"/>
  <c r="K39" i="42" s="1"/>
  <c r="K32" i="42" s="1"/>
  <c r="N14" i="42"/>
  <c r="P12" i="42"/>
  <c r="P14" i="42"/>
  <c r="E59" i="42"/>
  <c r="E51" i="42"/>
  <c r="H51" i="42" s="1"/>
  <c r="I15" i="42"/>
  <c r="J39" i="42"/>
  <c r="J32" i="42" s="1"/>
  <c r="D49" i="42"/>
  <c r="D39" i="42" s="1"/>
  <c r="R15" i="42"/>
  <c r="R5" i="42" s="1"/>
  <c r="E18" i="42"/>
  <c r="G18" i="42" s="1"/>
  <c r="I9" i="42"/>
  <c r="N34" i="42"/>
  <c r="N7" i="42"/>
  <c r="N18" i="42"/>
  <c r="N28" i="42"/>
  <c r="E50" i="42"/>
  <c r="H50" i="42" s="1"/>
  <c r="N23" i="42"/>
  <c r="P20" i="42"/>
  <c r="O34" i="42"/>
  <c r="C49" i="42"/>
  <c r="C39" i="42" s="1"/>
  <c r="C32" i="42" s="1"/>
  <c r="P18" i="42"/>
  <c r="I6" i="42"/>
  <c r="E58" i="42"/>
  <c r="O23" i="42"/>
  <c r="O10" i="42"/>
  <c r="E17" i="42"/>
  <c r="H17" i="42" s="1"/>
  <c r="P7" i="42"/>
  <c r="BB30" i="36"/>
  <c r="BB30" i="43" s="1"/>
  <c r="AW24" i="36"/>
  <c r="BA28" i="36"/>
  <c r="BA23" i="36" s="1"/>
  <c r="BB29" i="36"/>
  <c r="BB32" i="36"/>
  <c r="O31" i="42"/>
  <c r="R32" i="42"/>
  <c r="O30" i="42"/>
  <c r="Q27" i="42"/>
  <c r="O26" i="42"/>
  <c r="O25" i="42"/>
  <c r="Q22" i="42"/>
  <c r="P16" i="42"/>
  <c r="O11" i="42"/>
  <c r="O9" i="42"/>
  <c r="S6" i="42"/>
  <c r="S5" i="42" s="1"/>
  <c r="H7" i="42"/>
  <c r="O8" i="42"/>
  <c r="I49" i="42"/>
  <c r="P30" i="42"/>
  <c r="N30" i="42"/>
  <c r="M27" i="42"/>
  <c r="N25" i="42"/>
  <c r="P25" i="42"/>
  <c r="M15" i="42"/>
  <c r="N17" i="42"/>
  <c r="O17" i="42"/>
  <c r="P13" i="42"/>
  <c r="P11" i="42"/>
  <c r="K5" i="42"/>
  <c r="N9" i="42"/>
  <c r="P9" i="42"/>
  <c r="E53" i="42"/>
  <c r="B49" i="42"/>
  <c r="B39" i="42" s="1"/>
  <c r="B32" i="42" s="1"/>
  <c r="E40" i="42"/>
  <c r="D33" i="42"/>
  <c r="E31" i="42"/>
  <c r="G31" i="42" s="1"/>
  <c r="B30" i="42"/>
  <c r="E28" i="42"/>
  <c r="G28" i="42" s="1"/>
  <c r="B27" i="42"/>
  <c r="E26" i="42"/>
  <c r="H26" i="42" s="1"/>
  <c r="B25" i="42"/>
  <c r="B22" i="42"/>
  <c r="B15" i="42"/>
  <c r="E16" i="42"/>
  <c r="C5" i="42"/>
  <c r="E14" i="42"/>
  <c r="G14" i="42" s="1"/>
  <c r="G13" i="42" s="1"/>
  <c r="E8" i="42"/>
  <c r="H8" i="42" s="1"/>
  <c r="B6" i="42"/>
  <c r="F5" i="42"/>
  <c r="F32" i="42"/>
  <c r="S32" i="42"/>
  <c r="G38" i="42"/>
  <c r="I5" i="42"/>
  <c r="G7" i="42"/>
  <c r="N33" i="42"/>
  <c r="G41" i="42"/>
  <c r="H45" i="42"/>
  <c r="G52" i="42"/>
  <c r="O33" i="42"/>
  <c r="G48" i="42"/>
  <c r="F50" i="42"/>
  <c r="G24" i="42"/>
  <c r="G36" i="42"/>
  <c r="G43" i="42"/>
  <c r="AW26" i="36"/>
  <c r="AW28" i="36"/>
  <c r="BB26" i="36"/>
  <c r="BB25" i="36"/>
  <c r="N22" i="42" l="1"/>
  <c r="AW28" i="43"/>
  <c r="BJ25" i="43"/>
  <c r="BD24" i="43"/>
  <c r="BK25" i="43"/>
  <c r="G10" i="42"/>
  <c r="E9" i="42"/>
  <c r="G54" i="42"/>
  <c r="G50" i="42"/>
  <c r="G56" i="42"/>
  <c r="P49" i="42"/>
  <c r="G51" i="42"/>
  <c r="BB31" i="36"/>
  <c r="BB32" i="43"/>
  <c r="BB31" i="43" s="1"/>
  <c r="BD31" i="43"/>
  <c r="BK32" i="43"/>
  <c r="BJ32" i="43"/>
  <c r="AW23" i="43"/>
  <c r="BB28" i="36"/>
  <c r="BB29" i="43"/>
  <c r="BB28" i="43" s="1"/>
  <c r="BJ29" i="43"/>
  <c r="BD28" i="43"/>
  <c r="BJ28" i="43" s="1"/>
  <c r="BA23" i="43"/>
  <c r="BK27" i="43"/>
  <c r="BJ27" i="43"/>
  <c r="BD26" i="43"/>
  <c r="BB24" i="36"/>
  <c r="BB25" i="43"/>
  <c r="BB24" i="43" s="1"/>
  <c r="O39" i="42"/>
  <c r="O49" i="42"/>
  <c r="P39" i="42"/>
  <c r="M21" i="42"/>
  <c r="E22" i="42"/>
  <c r="H22" i="42" s="1"/>
  <c r="H23" i="42"/>
  <c r="H12" i="42"/>
  <c r="E11" i="42"/>
  <c r="H11" i="42" s="1"/>
  <c r="D5" i="42"/>
  <c r="P15" i="42"/>
  <c r="L5" i="42"/>
  <c r="L3" i="42" s="1"/>
  <c r="E33" i="42"/>
  <c r="H33" i="42" s="1"/>
  <c r="N19" i="42"/>
  <c r="G34" i="42"/>
  <c r="O32" i="42"/>
  <c r="O22" i="42"/>
  <c r="Q21" i="42"/>
  <c r="Q3" i="42" s="1"/>
  <c r="B21" i="42"/>
  <c r="H20" i="42"/>
  <c r="G20" i="42"/>
  <c r="G19" i="42" s="1"/>
  <c r="O15" i="42"/>
  <c r="M5" i="42"/>
  <c r="O5" i="42" s="1"/>
  <c r="O6" i="42"/>
  <c r="N6" i="42"/>
  <c r="AW23" i="36"/>
  <c r="BB23" i="36"/>
  <c r="F3" i="42"/>
  <c r="J3" i="42"/>
  <c r="R3" i="42"/>
  <c r="G55" i="42"/>
  <c r="G17" i="42"/>
  <c r="D32" i="42"/>
  <c r="H19" i="42"/>
  <c r="E49" i="42"/>
  <c r="H49" i="42" s="1"/>
  <c r="E30" i="42"/>
  <c r="G30" i="42" s="1"/>
  <c r="E27" i="42"/>
  <c r="G27" i="42" s="1"/>
  <c r="H31" i="42"/>
  <c r="G53" i="42"/>
  <c r="H18" i="42"/>
  <c r="O27" i="42"/>
  <c r="P6" i="42"/>
  <c r="P32" i="42"/>
  <c r="N49" i="42"/>
  <c r="I39" i="42"/>
  <c r="K3" i="42"/>
  <c r="N27" i="42"/>
  <c r="N15" i="42"/>
  <c r="C3" i="42"/>
  <c r="G26" i="42"/>
  <c r="E25" i="42"/>
  <c r="G25" i="42" s="1"/>
  <c r="B5" i="42"/>
  <c r="H16" i="42"/>
  <c r="G16" i="42"/>
  <c r="E15" i="42"/>
  <c r="H14" i="42"/>
  <c r="E13" i="42"/>
  <c r="E6" i="42"/>
  <c r="H6" i="42" s="1"/>
  <c r="G8" i="42"/>
  <c r="S3" i="42"/>
  <c r="H9" i="42"/>
  <c r="G9" i="42"/>
  <c r="BC29" i="36"/>
  <c r="BC29" i="43" s="1"/>
  <c r="BC25" i="36"/>
  <c r="BC25" i="43" s="1"/>
  <c r="BB58" i="36"/>
  <c r="BB57" i="36"/>
  <c r="G11" i="42" l="1"/>
  <c r="BC31" i="43"/>
  <c r="BC58" i="36"/>
  <c r="BC58" i="43" s="1"/>
  <c r="BB58" i="43"/>
  <c r="BC57" i="36"/>
  <c r="BC57" i="43" s="1"/>
  <c r="BB57" i="43"/>
  <c r="BC28" i="43"/>
  <c r="BK24" i="43"/>
  <c r="BJ24" i="43"/>
  <c r="G49" i="42"/>
  <c r="BK31" i="43"/>
  <c r="BJ31" i="43"/>
  <c r="O21" i="42"/>
  <c r="BJ26" i="43"/>
  <c r="BK26" i="43"/>
  <c r="BD23" i="43"/>
  <c r="BC26" i="43"/>
  <c r="BC24" i="43"/>
  <c r="BB23" i="43"/>
  <c r="G22" i="42"/>
  <c r="D3" i="42"/>
  <c r="P5" i="42"/>
  <c r="G33" i="42"/>
  <c r="N5" i="42"/>
  <c r="H30" i="42"/>
  <c r="E21" i="42"/>
  <c r="H21" i="42" s="1"/>
  <c r="E39" i="42"/>
  <c r="E32" i="42" s="1"/>
  <c r="I32" i="42"/>
  <c r="N39" i="42"/>
  <c r="M3" i="42"/>
  <c r="O3" i="42" s="1"/>
  <c r="N21" i="42"/>
  <c r="P21" i="42"/>
  <c r="B3" i="42"/>
  <c r="H25" i="42"/>
  <c r="H15" i="42"/>
  <c r="G15" i="42"/>
  <c r="H13" i="42"/>
  <c r="E5" i="42"/>
  <c r="E3" i="42" s="1"/>
  <c r="G6" i="42"/>
  <c r="E4" i="40"/>
  <c r="BC23" i="43" l="1"/>
  <c r="H39" i="42"/>
  <c r="G39" i="42"/>
  <c r="BK23" i="43"/>
  <c r="BJ23" i="43"/>
  <c r="G5" i="42"/>
  <c r="H5" i="42"/>
  <c r="N32" i="42"/>
  <c r="I3" i="42"/>
  <c r="N3" i="42" s="1"/>
  <c r="P3" i="42"/>
  <c r="G21" i="42"/>
  <c r="H32" i="42"/>
  <c r="G32" i="42"/>
  <c r="AH12" i="36"/>
  <c r="AH56" i="36"/>
  <c r="AH55" i="36"/>
  <c r="AH55" i="43" s="1"/>
  <c r="AH54" i="36"/>
  <c r="AH54" i="43" s="1"/>
  <c r="AH53" i="36"/>
  <c r="AH53" i="43" s="1"/>
  <c r="AH52" i="36"/>
  <c r="AH51" i="36"/>
  <c r="AH51" i="43" s="1"/>
  <c r="AH49" i="36"/>
  <c r="AI49" i="36" s="1"/>
  <c r="AH48" i="36"/>
  <c r="AI48" i="36" s="1"/>
  <c r="AH47" i="36"/>
  <c r="AI47" i="36" s="1"/>
  <c r="AH46" i="36"/>
  <c r="AI46" i="36" s="1"/>
  <c r="AH45" i="36"/>
  <c r="AI45" i="36" s="1"/>
  <c r="AH44" i="36"/>
  <c r="AI44" i="36" s="1"/>
  <c r="AH43" i="36"/>
  <c r="AI43" i="36" s="1"/>
  <c r="AH42" i="36"/>
  <c r="AI42" i="36" s="1"/>
  <c r="AH41" i="36"/>
  <c r="AH39" i="36"/>
  <c r="AI39" i="36" s="1"/>
  <c r="AH38" i="36"/>
  <c r="AI38" i="36" s="1"/>
  <c r="AH37" i="36"/>
  <c r="AI37" i="36" s="1"/>
  <c r="AH36" i="36"/>
  <c r="AI36" i="36" s="1"/>
  <c r="AH35" i="36"/>
  <c r="AH35" i="43" s="1"/>
  <c r="AH32" i="36"/>
  <c r="AH32" i="43" s="1"/>
  <c r="AH30" i="36"/>
  <c r="AH29" i="36"/>
  <c r="AH27" i="36"/>
  <c r="AH27" i="43" s="1"/>
  <c r="AH25" i="36"/>
  <c r="AH25" i="43" s="1"/>
  <c r="AH22" i="36"/>
  <c r="AH22" i="43" s="1"/>
  <c r="AH20" i="36"/>
  <c r="AH19" i="36"/>
  <c r="AH18" i="36"/>
  <c r="AH18" i="43" s="1"/>
  <c r="AH16" i="36"/>
  <c r="AH16" i="43" s="1"/>
  <c r="AH14" i="36"/>
  <c r="AH14" i="43" s="1"/>
  <c r="AH10" i="36"/>
  <c r="AH9" i="36"/>
  <c r="AH9" i="43" s="1"/>
  <c r="U58" i="36"/>
  <c r="U58" i="43" s="1"/>
  <c r="U57" i="36"/>
  <c r="U57" i="43" s="1"/>
  <c r="U56" i="36"/>
  <c r="U56" i="43" s="1"/>
  <c r="U55" i="36"/>
  <c r="U55" i="43" s="1"/>
  <c r="U54" i="36"/>
  <c r="U54" i="43" s="1"/>
  <c r="U53" i="36"/>
  <c r="U53" i="43" s="1"/>
  <c r="U52" i="36"/>
  <c r="U52" i="43" s="1"/>
  <c r="U51" i="36"/>
  <c r="U51" i="43" s="1"/>
  <c r="U49" i="36"/>
  <c r="V49" i="36" s="1"/>
  <c r="U48" i="36"/>
  <c r="V48" i="36" s="1"/>
  <c r="U47" i="36"/>
  <c r="V47" i="36" s="1"/>
  <c r="U46" i="36"/>
  <c r="V46" i="36" s="1"/>
  <c r="U45" i="36"/>
  <c r="V45" i="36" s="1"/>
  <c r="U44" i="36"/>
  <c r="V44" i="36" s="1"/>
  <c r="U43" i="36"/>
  <c r="V43" i="36" s="1"/>
  <c r="U42" i="36"/>
  <c r="V42" i="36" s="1"/>
  <c r="U41" i="36"/>
  <c r="U39" i="36"/>
  <c r="V39" i="36" s="1"/>
  <c r="U38" i="36"/>
  <c r="V38" i="36" s="1"/>
  <c r="U37" i="36"/>
  <c r="V37" i="36" s="1"/>
  <c r="U36" i="36"/>
  <c r="V36" i="36" s="1"/>
  <c r="U35" i="36"/>
  <c r="U35" i="43" s="1"/>
  <c r="U32" i="36"/>
  <c r="U32" i="43" s="1"/>
  <c r="U30" i="36"/>
  <c r="U30" i="43" s="1"/>
  <c r="U29" i="36"/>
  <c r="U29" i="43" s="1"/>
  <c r="U27" i="36"/>
  <c r="U27" i="43" s="1"/>
  <c r="V27" i="43" s="1"/>
  <c r="U25" i="36"/>
  <c r="U25" i="43" s="1"/>
  <c r="U22" i="36"/>
  <c r="U22" i="43" s="1"/>
  <c r="U20" i="36"/>
  <c r="U20" i="43" s="1"/>
  <c r="U19" i="36"/>
  <c r="U19" i="43" s="1"/>
  <c r="U18" i="43"/>
  <c r="U16" i="36"/>
  <c r="U16" i="43" s="1"/>
  <c r="U14" i="36"/>
  <c r="U14" i="43" s="1"/>
  <c r="U12" i="36"/>
  <c r="U12" i="43" s="1"/>
  <c r="U10" i="36"/>
  <c r="U9" i="36"/>
  <c r="U9" i="43" s="1"/>
  <c r="J58" i="36"/>
  <c r="J57" i="36"/>
  <c r="J56" i="36"/>
  <c r="J55" i="36"/>
  <c r="J54" i="36"/>
  <c r="J53" i="36"/>
  <c r="J52" i="36"/>
  <c r="J51" i="36"/>
  <c r="J49" i="36"/>
  <c r="K49" i="36" s="1"/>
  <c r="J48" i="36"/>
  <c r="K48" i="36" s="1"/>
  <c r="J47" i="36"/>
  <c r="K47" i="36" s="1"/>
  <c r="J46" i="36"/>
  <c r="K46" i="36" s="1"/>
  <c r="J45" i="36"/>
  <c r="K45" i="36" s="1"/>
  <c r="J44" i="36"/>
  <c r="K44" i="36" s="1"/>
  <c r="J43" i="36"/>
  <c r="K43" i="36" s="1"/>
  <c r="J42" i="36"/>
  <c r="K42" i="36" s="1"/>
  <c r="J41" i="36"/>
  <c r="J39" i="36"/>
  <c r="K39" i="36" s="1"/>
  <c r="J38" i="36"/>
  <c r="K38" i="36" s="1"/>
  <c r="J37" i="36"/>
  <c r="K37" i="36" s="1"/>
  <c r="J36" i="36"/>
  <c r="K36" i="36" s="1"/>
  <c r="J35" i="36"/>
  <c r="J32" i="36"/>
  <c r="J29" i="36"/>
  <c r="J29" i="43" s="1"/>
  <c r="J27" i="36"/>
  <c r="J27" i="43" s="1"/>
  <c r="J25" i="36"/>
  <c r="J22" i="36"/>
  <c r="J22" i="43" s="1"/>
  <c r="J20" i="36"/>
  <c r="J20" i="43" s="1"/>
  <c r="J19" i="36"/>
  <c r="J19" i="43" s="1"/>
  <c r="J18" i="36"/>
  <c r="J18" i="43" s="1"/>
  <c r="J16" i="36"/>
  <c r="J16" i="43" s="1"/>
  <c r="J14" i="36"/>
  <c r="J14" i="43" s="1"/>
  <c r="J12" i="36"/>
  <c r="J12" i="43" s="1"/>
  <c r="BA56" i="36"/>
  <c r="AW56" i="36"/>
  <c r="AW56" i="43" s="1"/>
  <c r="BA55" i="36"/>
  <c r="BA55" i="43" s="1"/>
  <c r="AW55" i="36"/>
  <c r="BA54" i="36"/>
  <c r="BA54" i="43" s="1"/>
  <c r="AW54" i="36"/>
  <c r="BA53" i="36"/>
  <c r="BA53" i="43" s="1"/>
  <c r="AW53" i="36"/>
  <c r="BA52" i="36"/>
  <c r="BA52" i="43" s="1"/>
  <c r="AW52" i="36"/>
  <c r="BA51" i="36"/>
  <c r="BA51" i="43" s="1"/>
  <c r="AW51" i="36"/>
  <c r="AZ50" i="36"/>
  <c r="AZ6" i="43" s="1"/>
  <c r="AY50" i="36"/>
  <c r="AY40" i="36" s="1"/>
  <c r="AX50" i="36"/>
  <c r="AV50" i="36"/>
  <c r="AU50" i="36"/>
  <c r="AU6" i="43" s="1"/>
  <c r="BA49" i="36"/>
  <c r="AW49" i="36"/>
  <c r="BA48" i="36"/>
  <c r="AW48" i="36"/>
  <c r="BA47" i="36"/>
  <c r="AW47" i="36"/>
  <c r="BA46" i="36"/>
  <c r="AW46" i="36"/>
  <c r="BA45" i="36"/>
  <c r="AW45" i="36"/>
  <c r="BA44" i="36"/>
  <c r="AW44" i="36"/>
  <c r="BA43" i="36"/>
  <c r="AW43" i="36"/>
  <c r="BA42" i="36"/>
  <c r="AW42" i="36"/>
  <c r="BA41" i="36"/>
  <c r="BA41" i="43" s="1"/>
  <c r="AW41" i="36"/>
  <c r="BA39" i="36"/>
  <c r="AW39" i="36"/>
  <c r="BA38" i="36"/>
  <c r="AW38" i="36"/>
  <c r="BA37" i="36"/>
  <c r="AW37" i="36"/>
  <c r="BA36" i="36"/>
  <c r="AW36" i="36"/>
  <c r="BA35" i="36"/>
  <c r="AW35" i="36"/>
  <c r="AW35" i="43" s="1"/>
  <c r="AW34" i="43" s="1"/>
  <c r="AZ34" i="36"/>
  <c r="AY34" i="36"/>
  <c r="AX34" i="36"/>
  <c r="AV34" i="36"/>
  <c r="AU34" i="36"/>
  <c r="AT34" i="36"/>
  <c r="BA22" i="36"/>
  <c r="AW22" i="36"/>
  <c r="AW22" i="43" s="1"/>
  <c r="AZ21" i="36"/>
  <c r="AY21" i="36"/>
  <c r="AX21" i="36"/>
  <c r="AV21" i="36"/>
  <c r="AU21" i="36"/>
  <c r="AT21" i="36"/>
  <c r="BA20" i="36"/>
  <c r="AW20" i="36"/>
  <c r="AW20" i="43" s="1"/>
  <c r="BA19" i="36"/>
  <c r="AW19" i="36"/>
  <c r="AW19" i="43" s="1"/>
  <c r="BA18" i="36"/>
  <c r="BA18" i="43" s="1"/>
  <c r="AW18" i="36"/>
  <c r="AZ17" i="36"/>
  <c r="AY17" i="36"/>
  <c r="AX17" i="36"/>
  <c r="AV17" i="36"/>
  <c r="AU17" i="36"/>
  <c r="AT17" i="36"/>
  <c r="BA16" i="36"/>
  <c r="AW16" i="36"/>
  <c r="AW16" i="43" s="1"/>
  <c r="AZ15" i="36"/>
  <c r="AY15" i="36"/>
  <c r="AX15" i="36"/>
  <c r="AV15" i="36"/>
  <c r="AU15" i="36"/>
  <c r="AT15" i="36"/>
  <c r="BA14" i="36"/>
  <c r="AW14" i="36"/>
  <c r="AZ13" i="36"/>
  <c r="AY13" i="36"/>
  <c r="AX13" i="36"/>
  <c r="AV13" i="36"/>
  <c r="AU13" i="36"/>
  <c r="AT13" i="36"/>
  <c r="BA12" i="36"/>
  <c r="AW12" i="36"/>
  <c r="AW12" i="43" s="1"/>
  <c r="AZ11" i="36"/>
  <c r="AY11" i="36"/>
  <c r="AX11" i="36"/>
  <c r="AV11" i="36"/>
  <c r="AU11" i="36"/>
  <c r="AT11" i="36"/>
  <c r="BA10" i="36"/>
  <c r="BB10" i="36" s="1"/>
  <c r="BA9" i="36"/>
  <c r="BA9" i="43" s="1"/>
  <c r="AW9" i="36"/>
  <c r="AZ8" i="36"/>
  <c r="AY8" i="36"/>
  <c r="AX8" i="36"/>
  <c r="AV8" i="36"/>
  <c r="AU8" i="36"/>
  <c r="AT8" i="36"/>
  <c r="AS49" i="36"/>
  <c r="AS48" i="36"/>
  <c r="AS47" i="36"/>
  <c r="AS46" i="36"/>
  <c r="AS45" i="36"/>
  <c r="AS44" i="36"/>
  <c r="AS43" i="36"/>
  <c r="AS42" i="36"/>
  <c r="AS41" i="36"/>
  <c r="AS41" i="43" s="1"/>
  <c r="AS39" i="36"/>
  <c r="AS38" i="36"/>
  <c r="AS37" i="36"/>
  <c r="AS36" i="36"/>
  <c r="AS9" i="36"/>
  <c r="AS9" i="43" s="1"/>
  <c r="AQ50" i="36"/>
  <c r="AP50" i="36"/>
  <c r="AO50" i="36"/>
  <c r="AN50" i="36"/>
  <c r="AN6" i="43" s="1"/>
  <c r="AM50" i="36"/>
  <c r="AL50" i="36"/>
  <c r="AK50" i="36"/>
  <c r="AQ34" i="36"/>
  <c r="AP34" i="36"/>
  <c r="AO34" i="36"/>
  <c r="AN34" i="36"/>
  <c r="AM34" i="36"/>
  <c r="AL34" i="36"/>
  <c r="AK34" i="36"/>
  <c r="AQ31" i="36"/>
  <c r="AP31" i="36"/>
  <c r="AO31" i="36"/>
  <c r="AN31" i="36"/>
  <c r="AM31" i="36"/>
  <c r="AL31" i="36"/>
  <c r="AK31" i="36"/>
  <c r="AQ28" i="36"/>
  <c r="AP28" i="36"/>
  <c r="AO28" i="36"/>
  <c r="AN28" i="36"/>
  <c r="AM28" i="36"/>
  <c r="AL28" i="36"/>
  <c r="AK28" i="36"/>
  <c r="AQ26" i="36"/>
  <c r="AP26" i="36"/>
  <c r="AO26" i="36"/>
  <c r="AN26" i="36"/>
  <c r="AM26" i="36"/>
  <c r="AL26" i="36"/>
  <c r="AK26" i="36"/>
  <c r="AQ24" i="36"/>
  <c r="AP24" i="36"/>
  <c r="AO24" i="36"/>
  <c r="AN24" i="36"/>
  <c r="AM24" i="36"/>
  <c r="AL24" i="36"/>
  <c r="AK24" i="36"/>
  <c r="AQ21" i="36"/>
  <c r="AP21" i="36"/>
  <c r="AO21" i="36"/>
  <c r="AN21" i="36"/>
  <c r="AM21" i="36"/>
  <c r="AL21" i="36"/>
  <c r="AK21" i="36"/>
  <c r="AQ17" i="36"/>
  <c r="AP17" i="36"/>
  <c r="AO17" i="36"/>
  <c r="AN17" i="36"/>
  <c r="AM17" i="36"/>
  <c r="AL17" i="36"/>
  <c r="AK17" i="36"/>
  <c r="AQ15" i="36"/>
  <c r="AP15" i="36"/>
  <c r="AO15" i="36"/>
  <c r="AN15" i="36"/>
  <c r="AM15" i="36"/>
  <c r="AL15" i="36"/>
  <c r="AK15" i="36"/>
  <c r="AQ13" i="36"/>
  <c r="AP13" i="36"/>
  <c r="AO13" i="36"/>
  <c r="AN13" i="36"/>
  <c r="AM13" i="36"/>
  <c r="AL13" i="36"/>
  <c r="AK13" i="36"/>
  <c r="AQ11" i="36"/>
  <c r="AP11" i="36"/>
  <c r="AO11" i="36"/>
  <c r="AN11" i="36"/>
  <c r="AM11" i="36"/>
  <c r="AL11" i="36"/>
  <c r="AK11" i="36"/>
  <c r="AQ8" i="36"/>
  <c r="AP8" i="36"/>
  <c r="AO8" i="36"/>
  <c r="AN8" i="36"/>
  <c r="AM8" i="36"/>
  <c r="AL8" i="36"/>
  <c r="AK8" i="36"/>
  <c r="AG50" i="36"/>
  <c r="AF50" i="36"/>
  <c r="AF6" i="43" s="1"/>
  <c r="AE50" i="36"/>
  <c r="AD50" i="36"/>
  <c r="AC50" i="36"/>
  <c r="AB50" i="36"/>
  <c r="AA50" i="36"/>
  <c r="AG34" i="36"/>
  <c r="AF34" i="36"/>
  <c r="AE34" i="36"/>
  <c r="AD34" i="36"/>
  <c r="AC34" i="36"/>
  <c r="AB34" i="36"/>
  <c r="AA34" i="36"/>
  <c r="AG31" i="36"/>
  <c r="AF31" i="36"/>
  <c r="AE31" i="36"/>
  <c r="AD31" i="36"/>
  <c r="AC31" i="36"/>
  <c r="AB31" i="36"/>
  <c r="AA31" i="36"/>
  <c r="AG28" i="36"/>
  <c r="AF28" i="36"/>
  <c r="AE28" i="36"/>
  <c r="AD28" i="36"/>
  <c r="AC28" i="36"/>
  <c r="AB28" i="36"/>
  <c r="AA28" i="36"/>
  <c r="AG26" i="36"/>
  <c r="AF26" i="36"/>
  <c r="AE26" i="36"/>
  <c r="AD26" i="36"/>
  <c r="AC26" i="36"/>
  <c r="AB26" i="36"/>
  <c r="AA26" i="36"/>
  <c r="AG24" i="36"/>
  <c r="AF24" i="36"/>
  <c r="AE24" i="36"/>
  <c r="AD24" i="36"/>
  <c r="AC24" i="36"/>
  <c r="AB24" i="36"/>
  <c r="AA24" i="36"/>
  <c r="AG21" i="36"/>
  <c r="AF21" i="36"/>
  <c r="AE21" i="36"/>
  <c r="AD21" i="36"/>
  <c r="AC21" i="36"/>
  <c r="AB21" i="36"/>
  <c r="AA21" i="36"/>
  <c r="AG17" i="36"/>
  <c r="AF17" i="36"/>
  <c r="AE17" i="36"/>
  <c r="AD17" i="36"/>
  <c r="AC17" i="36"/>
  <c r="AB17" i="36"/>
  <c r="AA17" i="36"/>
  <c r="AG15" i="36"/>
  <c r="AF15" i="36"/>
  <c r="AE15" i="36"/>
  <c r="AD15" i="36"/>
  <c r="AC15" i="36"/>
  <c r="AB15" i="36"/>
  <c r="AA15" i="36"/>
  <c r="AG13" i="36"/>
  <c r="AF13" i="36"/>
  <c r="AE13" i="36"/>
  <c r="AD13" i="36"/>
  <c r="AC13" i="36"/>
  <c r="AB13" i="36"/>
  <c r="AA13" i="36"/>
  <c r="AG11" i="36"/>
  <c r="AF11" i="36"/>
  <c r="AE11" i="36"/>
  <c r="AD11" i="36"/>
  <c r="AC11" i="36"/>
  <c r="AB11" i="36"/>
  <c r="AA11" i="36"/>
  <c r="AG8" i="36"/>
  <c r="AF8" i="36"/>
  <c r="AE8" i="36"/>
  <c r="AD8" i="36"/>
  <c r="AC8" i="36"/>
  <c r="AB8" i="36"/>
  <c r="AA8" i="36"/>
  <c r="AJ13" i="36"/>
  <c r="AJ15" i="36"/>
  <c r="AI18" i="36"/>
  <c r="AI18" i="43" s="1"/>
  <c r="AJ21" i="36"/>
  <c r="AJ26" i="36"/>
  <c r="AJ31" i="36"/>
  <c r="AJ34" i="36"/>
  <c r="AI51" i="36"/>
  <c r="AI51" i="43" s="1"/>
  <c r="AI54" i="36"/>
  <c r="AI54" i="43" s="1"/>
  <c r="AH58" i="36"/>
  <c r="AH58" i="43" s="1"/>
  <c r="AH57" i="36"/>
  <c r="AH57" i="43" s="1"/>
  <c r="T50" i="36"/>
  <c r="S50" i="36"/>
  <c r="R50" i="36"/>
  <c r="Q50" i="36"/>
  <c r="P50" i="36"/>
  <c r="P6" i="43" s="1"/>
  <c r="O50" i="36"/>
  <c r="O6" i="43" s="1"/>
  <c r="N50" i="36"/>
  <c r="N6" i="43" s="1"/>
  <c r="M50" i="36"/>
  <c r="M6" i="43" s="1"/>
  <c r="T34" i="36"/>
  <c r="S34" i="36"/>
  <c r="R34" i="36"/>
  <c r="Q34" i="36"/>
  <c r="P34" i="36"/>
  <c r="O34" i="36"/>
  <c r="N34" i="36"/>
  <c r="M34" i="36"/>
  <c r="T31" i="36"/>
  <c r="S31" i="36"/>
  <c r="R31" i="36"/>
  <c r="Q31" i="36"/>
  <c r="P31" i="36"/>
  <c r="O31" i="36"/>
  <c r="N31" i="36"/>
  <c r="M31" i="36"/>
  <c r="T28" i="36"/>
  <c r="S28" i="36"/>
  <c r="R28" i="36"/>
  <c r="Q28" i="36"/>
  <c r="P28" i="36"/>
  <c r="O28" i="36"/>
  <c r="N28" i="36"/>
  <c r="M28" i="36"/>
  <c r="T26" i="36"/>
  <c r="S26" i="36"/>
  <c r="R26" i="36"/>
  <c r="Q26" i="36"/>
  <c r="P26" i="36"/>
  <c r="O26" i="36"/>
  <c r="N26" i="36"/>
  <c r="M26" i="36"/>
  <c r="T24" i="36"/>
  <c r="T23" i="36" s="1"/>
  <c r="S24" i="36"/>
  <c r="S23" i="36" s="1"/>
  <c r="R24" i="36"/>
  <c r="R23" i="36" s="1"/>
  <c r="Q24" i="36"/>
  <c r="P24" i="36"/>
  <c r="P23" i="36" s="1"/>
  <c r="O24" i="36"/>
  <c r="O23" i="36" s="1"/>
  <c r="N24" i="36"/>
  <c r="M24" i="36"/>
  <c r="M23" i="36" s="1"/>
  <c r="T21" i="36"/>
  <c r="S21" i="36"/>
  <c r="R21" i="36"/>
  <c r="Q21" i="36"/>
  <c r="P21" i="36"/>
  <c r="O21" i="36"/>
  <c r="N21" i="36"/>
  <c r="M21" i="36"/>
  <c r="T17" i="36"/>
  <c r="S17" i="36"/>
  <c r="R17" i="36"/>
  <c r="Q17" i="36"/>
  <c r="P17" i="36"/>
  <c r="O17" i="36"/>
  <c r="N17" i="36"/>
  <c r="M17" i="36"/>
  <c r="T15" i="36"/>
  <c r="S15" i="36"/>
  <c r="R15" i="36"/>
  <c r="Q15" i="36"/>
  <c r="P15" i="36"/>
  <c r="O15" i="36"/>
  <c r="N15" i="36"/>
  <c r="M15" i="36"/>
  <c r="T13" i="36"/>
  <c r="S13" i="36"/>
  <c r="R13" i="36"/>
  <c r="Q13" i="36"/>
  <c r="P13" i="36"/>
  <c r="O13" i="36"/>
  <c r="N13" i="36"/>
  <c r="M13" i="36"/>
  <c r="T11" i="36"/>
  <c r="S11" i="36"/>
  <c r="R11" i="36"/>
  <c r="Q11" i="36"/>
  <c r="P11" i="36"/>
  <c r="O11" i="36"/>
  <c r="N11" i="36"/>
  <c r="M11" i="36"/>
  <c r="T8" i="36"/>
  <c r="T7" i="36" s="1"/>
  <c r="S8" i="36"/>
  <c r="S7" i="36" s="1"/>
  <c r="R8" i="36"/>
  <c r="R7" i="36" s="1"/>
  <c r="Q8" i="36"/>
  <c r="P8" i="36"/>
  <c r="O8" i="36"/>
  <c r="N8" i="36"/>
  <c r="N7" i="36" s="1"/>
  <c r="M8" i="36"/>
  <c r="I50" i="36"/>
  <c r="I6" i="43" s="1"/>
  <c r="H50" i="36"/>
  <c r="H6" i="43" s="1"/>
  <c r="G50" i="36"/>
  <c r="F50" i="36"/>
  <c r="F6" i="43" s="1"/>
  <c r="D50" i="36"/>
  <c r="C50" i="36"/>
  <c r="C6" i="43" s="1"/>
  <c r="B50" i="36"/>
  <c r="I34" i="36"/>
  <c r="H34" i="36"/>
  <c r="G34" i="36"/>
  <c r="F34" i="36"/>
  <c r="E34" i="36"/>
  <c r="E33" i="36" s="1"/>
  <c r="D34" i="36"/>
  <c r="C34" i="36"/>
  <c r="B34" i="36"/>
  <c r="I31" i="36"/>
  <c r="I23" i="36" s="1"/>
  <c r="H31" i="36"/>
  <c r="H23" i="36" s="1"/>
  <c r="G31" i="36"/>
  <c r="G23" i="36" s="1"/>
  <c r="F31" i="36"/>
  <c r="F23" i="36" s="1"/>
  <c r="D31" i="36"/>
  <c r="B26" i="36"/>
  <c r="B23" i="36" s="1"/>
  <c r="I21" i="36"/>
  <c r="H21" i="36"/>
  <c r="G21" i="36"/>
  <c r="F21" i="36"/>
  <c r="E21" i="36"/>
  <c r="D21" i="36"/>
  <c r="C21" i="36"/>
  <c r="B21" i="36"/>
  <c r="I17" i="36"/>
  <c r="H17" i="36"/>
  <c r="G17" i="36"/>
  <c r="F17" i="36"/>
  <c r="D17" i="36"/>
  <c r="C17" i="36"/>
  <c r="B17" i="36"/>
  <c r="I15" i="36"/>
  <c r="H15" i="36"/>
  <c r="G15" i="36"/>
  <c r="F15" i="36"/>
  <c r="E15" i="36"/>
  <c r="D15" i="36"/>
  <c r="C15" i="36"/>
  <c r="B15" i="36"/>
  <c r="I13" i="36"/>
  <c r="H13" i="36"/>
  <c r="G13" i="36"/>
  <c r="F13" i="36"/>
  <c r="D13" i="36"/>
  <c r="C13" i="36"/>
  <c r="B13" i="36"/>
  <c r="I11" i="36"/>
  <c r="H11" i="36"/>
  <c r="G11" i="36"/>
  <c r="F11" i="36"/>
  <c r="E11" i="36"/>
  <c r="D11" i="36"/>
  <c r="C11" i="36"/>
  <c r="B11" i="36"/>
  <c r="I8" i="36"/>
  <c r="H8" i="36"/>
  <c r="G8" i="36"/>
  <c r="F8" i="36"/>
  <c r="D8" i="36"/>
  <c r="C8" i="36"/>
  <c r="B8" i="36"/>
  <c r="N23" i="36" l="1"/>
  <c r="K41" i="36"/>
  <c r="J41" i="43"/>
  <c r="K57" i="36"/>
  <c r="J57" i="43"/>
  <c r="K58" i="36"/>
  <c r="J58" i="43"/>
  <c r="BD20" i="36"/>
  <c r="BD20" i="43" s="1"/>
  <c r="BA20" i="43"/>
  <c r="BD22" i="36"/>
  <c r="BA22" i="43"/>
  <c r="K32" i="36"/>
  <c r="J32" i="43"/>
  <c r="AI29" i="36"/>
  <c r="AI29" i="43" s="1"/>
  <c r="AH29" i="43"/>
  <c r="AI41" i="36"/>
  <c r="AI41" i="43" s="1"/>
  <c r="AH41" i="43"/>
  <c r="AI56" i="36"/>
  <c r="AI56" i="43" s="1"/>
  <c r="AH56" i="43"/>
  <c r="BD19" i="36"/>
  <c r="BD19" i="43" s="1"/>
  <c r="BA19" i="43"/>
  <c r="AI25" i="36"/>
  <c r="AI25" i="43" s="1"/>
  <c r="AB23" i="36"/>
  <c r="K35" i="36"/>
  <c r="J35" i="43"/>
  <c r="K53" i="36"/>
  <c r="J53" i="43"/>
  <c r="AI30" i="36"/>
  <c r="AI30" i="43" s="1"/>
  <c r="AH30" i="43"/>
  <c r="AC23" i="36"/>
  <c r="AQ23" i="36"/>
  <c r="K54" i="36"/>
  <c r="J54" i="43"/>
  <c r="AI55" i="36"/>
  <c r="AI55" i="43" s="1"/>
  <c r="AD23" i="36"/>
  <c r="K55" i="36"/>
  <c r="J55" i="43"/>
  <c r="V41" i="36"/>
  <c r="U41" i="43"/>
  <c r="V41" i="43" s="1"/>
  <c r="AI19" i="36"/>
  <c r="AI19" i="43" s="1"/>
  <c r="AH19" i="43"/>
  <c r="J9" i="36"/>
  <c r="E9" i="43"/>
  <c r="E8" i="36"/>
  <c r="E7" i="36" s="1"/>
  <c r="E4" i="36" s="1"/>
  <c r="E5" i="36"/>
  <c r="D28" i="36"/>
  <c r="D23" i="36" s="1"/>
  <c r="D30" i="43"/>
  <c r="BD14" i="36"/>
  <c r="BD14" i="43" s="1"/>
  <c r="BA14" i="43"/>
  <c r="AI20" i="36"/>
  <c r="AI20" i="43" s="1"/>
  <c r="AH20" i="43"/>
  <c r="K25" i="36"/>
  <c r="J25" i="43"/>
  <c r="K56" i="36"/>
  <c r="J56" i="43"/>
  <c r="AZ40" i="36"/>
  <c r="AZ33" i="36" s="1"/>
  <c r="K52" i="36"/>
  <c r="J52" i="43"/>
  <c r="K51" i="36"/>
  <c r="J51" i="43"/>
  <c r="AI52" i="36"/>
  <c r="AI52" i="43" s="1"/>
  <c r="AH52" i="43"/>
  <c r="BD41" i="36"/>
  <c r="BD41" i="43" s="1"/>
  <c r="AW41" i="43"/>
  <c r="BD55" i="36"/>
  <c r="BD55" i="43" s="1"/>
  <c r="AW55" i="43"/>
  <c r="BD53" i="36"/>
  <c r="BD53" i="43" s="1"/>
  <c r="BJ53" i="43" s="1"/>
  <c r="AW53" i="43"/>
  <c r="BD54" i="36"/>
  <c r="BD54" i="43" s="1"/>
  <c r="AW54" i="43"/>
  <c r="BD56" i="36"/>
  <c r="BD56" i="43" s="1"/>
  <c r="BJ56" i="43" s="1"/>
  <c r="BA56" i="43"/>
  <c r="BA50" i="43" s="1"/>
  <c r="BA40" i="43" s="1"/>
  <c r="BD52" i="36"/>
  <c r="BD52" i="43" s="1"/>
  <c r="AW52" i="43"/>
  <c r="BD51" i="36"/>
  <c r="BD51" i="43" s="1"/>
  <c r="AW51" i="43"/>
  <c r="Q40" i="36"/>
  <c r="Q33" i="36" s="1"/>
  <c r="Q6" i="43"/>
  <c r="AB40" i="36"/>
  <c r="AB33" i="36" s="1"/>
  <c r="AB6" i="43"/>
  <c r="AP40" i="36"/>
  <c r="AP6" i="43"/>
  <c r="AA40" i="36"/>
  <c r="AA33" i="36" s="1"/>
  <c r="AA6" i="43"/>
  <c r="G40" i="36"/>
  <c r="G33" i="36" s="1"/>
  <c r="G6" i="43"/>
  <c r="R5" i="36"/>
  <c r="R6" i="43"/>
  <c r="AC40" i="36"/>
  <c r="AC6" i="43"/>
  <c r="AQ40" i="36"/>
  <c r="AQ6" i="43"/>
  <c r="B40" i="36"/>
  <c r="B33" i="36" s="1"/>
  <c r="B6" i="43"/>
  <c r="B5" i="36"/>
  <c r="S40" i="36"/>
  <c r="S33" i="36" s="1"/>
  <c r="S4" i="36" s="1"/>
  <c r="S6" i="43"/>
  <c r="AD40" i="36"/>
  <c r="AD33" i="36" s="1"/>
  <c r="AD6" i="43"/>
  <c r="AG5" i="36"/>
  <c r="AG6" i="43"/>
  <c r="T40" i="36"/>
  <c r="T33" i="36" s="1"/>
  <c r="T4" i="36" s="1"/>
  <c r="T6" i="43"/>
  <c r="AE40" i="36"/>
  <c r="AE33" i="36" s="1"/>
  <c r="AE6" i="43"/>
  <c r="AK40" i="36"/>
  <c r="AK33" i="36" s="1"/>
  <c r="AK6" i="43"/>
  <c r="D6" i="43"/>
  <c r="D5" i="36"/>
  <c r="AO40" i="36"/>
  <c r="AO33" i="36" s="1"/>
  <c r="AO6" i="43"/>
  <c r="AL5" i="36"/>
  <c r="AL6" i="43"/>
  <c r="AX40" i="36"/>
  <c r="AX6" i="43"/>
  <c r="AM40" i="36"/>
  <c r="AM6" i="43"/>
  <c r="AY5" i="36"/>
  <c r="AY6" i="43"/>
  <c r="AT40" i="36"/>
  <c r="AT33" i="36" s="1"/>
  <c r="AT6" i="43"/>
  <c r="AV5" i="36"/>
  <c r="AV6" i="43"/>
  <c r="BD35" i="36"/>
  <c r="BD35" i="43" s="1"/>
  <c r="BA35" i="43"/>
  <c r="BA34" i="43" s="1"/>
  <c r="AT7" i="36"/>
  <c r="BD18" i="36"/>
  <c r="AW18" i="43"/>
  <c r="BD12" i="36"/>
  <c r="BD12" i="43" s="1"/>
  <c r="BA12" i="43"/>
  <c r="O7" i="36"/>
  <c r="AI12" i="36"/>
  <c r="AI12" i="43" s="1"/>
  <c r="AH12" i="43"/>
  <c r="J8" i="36"/>
  <c r="K9" i="36"/>
  <c r="J9" i="43"/>
  <c r="BD16" i="36"/>
  <c r="BA16" i="43"/>
  <c r="AW14" i="43"/>
  <c r="AW9" i="43"/>
  <c r="BD9" i="36"/>
  <c r="BA10" i="43"/>
  <c r="AH10" i="43"/>
  <c r="U10" i="43"/>
  <c r="BB10" i="43"/>
  <c r="G3" i="42"/>
  <c r="H3" i="42"/>
  <c r="Q23" i="36"/>
  <c r="AE23" i="36"/>
  <c r="AF23" i="36"/>
  <c r="AL23" i="36"/>
  <c r="AG23" i="36"/>
  <c r="AM23" i="36"/>
  <c r="AN23" i="36"/>
  <c r="M40" i="36"/>
  <c r="M33" i="36" s="1"/>
  <c r="M5" i="36"/>
  <c r="AA23" i="36"/>
  <c r="AO23" i="36"/>
  <c r="AP23" i="36"/>
  <c r="AK23" i="36"/>
  <c r="BB9" i="36"/>
  <c r="BB44" i="36"/>
  <c r="BC44" i="36" s="1"/>
  <c r="BB48" i="36"/>
  <c r="BC48" i="36" s="1"/>
  <c r="BB36" i="36"/>
  <c r="BC36" i="36" s="1"/>
  <c r="AH13" i="36"/>
  <c r="AI13" i="36" s="1"/>
  <c r="BB19" i="36"/>
  <c r="BB19" i="43" s="1"/>
  <c r="BB38" i="36"/>
  <c r="BC38" i="36" s="1"/>
  <c r="BB42" i="36"/>
  <c r="BC42" i="36" s="1"/>
  <c r="BB46" i="36"/>
  <c r="BC46" i="36" s="1"/>
  <c r="BB55" i="36"/>
  <c r="AH21" i="36"/>
  <c r="AI21" i="36" s="1"/>
  <c r="BB53" i="36"/>
  <c r="BB56" i="36"/>
  <c r="AH31" i="36"/>
  <c r="AI31" i="36" s="1"/>
  <c r="BB12" i="36"/>
  <c r="BB12" i="43" s="1"/>
  <c r="BB14" i="36"/>
  <c r="BB14" i="43" s="1"/>
  <c r="BB16" i="36"/>
  <c r="BB16" i="43" s="1"/>
  <c r="BB18" i="36"/>
  <c r="BB18" i="43" s="1"/>
  <c r="BB37" i="36"/>
  <c r="BC37" i="36" s="1"/>
  <c r="BB41" i="36"/>
  <c r="BB45" i="36"/>
  <c r="BC45" i="36" s="1"/>
  <c r="BB49" i="36"/>
  <c r="BC49" i="36" s="1"/>
  <c r="BB51" i="36"/>
  <c r="BB54" i="36"/>
  <c r="BB20" i="36"/>
  <c r="BB20" i="43" s="1"/>
  <c r="BB22" i="36"/>
  <c r="BB22" i="43" s="1"/>
  <c r="BB35" i="36"/>
  <c r="BB39" i="36"/>
  <c r="BC39" i="36" s="1"/>
  <c r="BB43" i="36"/>
  <c r="BC43" i="36" s="1"/>
  <c r="BB47" i="36"/>
  <c r="BC47" i="36" s="1"/>
  <c r="BB52" i="36"/>
  <c r="K29" i="36"/>
  <c r="AH11" i="36"/>
  <c r="AH28" i="36"/>
  <c r="AI14" i="36"/>
  <c r="AI14" i="43" s="1"/>
  <c r="AH26" i="36"/>
  <c r="AI26" i="36" s="1"/>
  <c r="AH24" i="36"/>
  <c r="AI53" i="36"/>
  <c r="AI53" i="43" s="1"/>
  <c r="AJ11" i="36"/>
  <c r="AI10" i="36"/>
  <c r="AH17" i="36"/>
  <c r="AH8" i="36"/>
  <c r="Q7" i="36"/>
  <c r="AE5" i="36"/>
  <c r="AH15" i="36"/>
  <c r="AI15" i="36" s="1"/>
  <c r="AH34" i="36"/>
  <c r="AI34" i="36" s="1"/>
  <c r="AI22" i="36"/>
  <c r="AI22" i="43" s="1"/>
  <c r="AI16" i="36"/>
  <c r="AI16" i="43" s="1"/>
  <c r="AI35" i="36"/>
  <c r="AI35" i="43" s="1"/>
  <c r="AI27" i="36"/>
  <c r="AI27" i="43" s="1"/>
  <c r="AI32" i="36"/>
  <c r="AI32" i="43" s="1"/>
  <c r="AI9" i="36"/>
  <c r="AI9" i="43" s="1"/>
  <c r="AH50" i="36"/>
  <c r="AH6" i="43" s="1"/>
  <c r="U13" i="36"/>
  <c r="U31" i="36"/>
  <c r="U11" i="36"/>
  <c r="U15" i="36"/>
  <c r="U17" i="36"/>
  <c r="U21" i="36"/>
  <c r="U26" i="36"/>
  <c r="U28" i="36"/>
  <c r="U34" i="36"/>
  <c r="U8" i="36"/>
  <c r="U24" i="36"/>
  <c r="J17" i="36"/>
  <c r="J21" i="36"/>
  <c r="J26" i="36"/>
  <c r="J31" i="36"/>
  <c r="J34" i="36"/>
  <c r="J15" i="36"/>
  <c r="J13" i="36"/>
  <c r="J11" i="36"/>
  <c r="U50" i="36"/>
  <c r="U6" i="43" s="1"/>
  <c r="AZ5" i="36"/>
  <c r="AB5" i="36"/>
  <c r="J30" i="36"/>
  <c r="P7" i="36"/>
  <c r="AD5" i="36"/>
  <c r="J50" i="36"/>
  <c r="J6" i="43" s="1"/>
  <c r="J24" i="36"/>
  <c r="AU5" i="36"/>
  <c r="AU40" i="36"/>
  <c r="AU33" i="36" s="1"/>
  <c r="D7" i="36"/>
  <c r="AO5" i="36"/>
  <c r="AQ5" i="36"/>
  <c r="F5" i="36"/>
  <c r="F40" i="36"/>
  <c r="F33" i="36" s="1"/>
  <c r="AN5" i="36"/>
  <c r="AV40" i="36"/>
  <c r="AV33" i="36" s="1"/>
  <c r="AN40" i="36"/>
  <c r="AN33" i="36" s="1"/>
  <c r="C7" i="36"/>
  <c r="AF5" i="36"/>
  <c r="AF40" i="36"/>
  <c r="AF33" i="36" s="1"/>
  <c r="AJ24" i="36"/>
  <c r="AW21" i="36"/>
  <c r="AY33" i="36"/>
  <c r="AZ7" i="36"/>
  <c r="AX5" i="36"/>
  <c r="AU7" i="36"/>
  <c r="BA21" i="36"/>
  <c r="R40" i="36"/>
  <c r="R33" i="36" s="1"/>
  <c r="R4" i="36" s="1"/>
  <c r="AY7" i="36"/>
  <c r="BA34" i="36"/>
  <c r="AP5" i="36"/>
  <c r="AL7" i="36"/>
  <c r="AW8" i="36"/>
  <c r="AF7" i="36"/>
  <c r="AC5" i="36"/>
  <c r="AD7" i="36"/>
  <c r="AW13" i="36"/>
  <c r="AW15" i="36"/>
  <c r="AW50" i="36"/>
  <c r="AW6" i="43" s="1"/>
  <c r="H7" i="36"/>
  <c r="BA50" i="36"/>
  <c r="BA40" i="36" s="1"/>
  <c r="AW34" i="36"/>
  <c r="AW17" i="36"/>
  <c r="BA8" i="36"/>
  <c r="AV7" i="36"/>
  <c r="BA11" i="36"/>
  <c r="BA13" i="36"/>
  <c r="BA15" i="36"/>
  <c r="AX7" i="36"/>
  <c r="AX33" i="36"/>
  <c r="AW11" i="36"/>
  <c r="AT5" i="36"/>
  <c r="BA17" i="36"/>
  <c r="AG40" i="36"/>
  <c r="AG33" i="36" s="1"/>
  <c r="AM33" i="36"/>
  <c r="AP33" i="36"/>
  <c r="AK5" i="36"/>
  <c r="B7" i="36"/>
  <c r="AE7" i="36"/>
  <c r="AN7" i="36"/>
  <c r="AO7" i="36"/>
  <c r="AM5" i="36"/>
  <c r="AM7" i="36"/>
  <c r="AP7" i="36"/>
  <c r="AQ7" i="36"/>
  <c r="AK7" i="36"/>
  <c r="AQ33" i="36"/>
  <c r="AL40" i="36"/>
  <c r="N5" i="36"/>
  <c r="AJ28" i="36"/>
  <c r="AJ8" i="36"/>
  <c r="AA7" i="36"/>
  <c r="AB7" i="36"/>
  <c r="AC7" i="36"/>
  <c r="AJ17" i="36"/>
  <c r="AA5" i="36"/>
  <c r="AC33" i="36"/>
  <c r="AG7" i="36"/>
  <c r="Q5" i="36"/>
  <c r="S5" i="36"/>
  <c r="N40" i="36"/>
  <c r="F7" i="36"/>
  <c r="M7" i="36"/>
  <c r="O40" i="36"/>
  <c r="O33" i="36" s="1"/>
  <c r="P40" i="36"/>
  <c r="P33" i="36" s="1"/>
  <c r="O5" i="36"/>
  <c r="P5" i="36"/>
  <c r="G7" i="36"/>
  <c r="C40" i="36"/>
  <c r="C33" i="36" s="1"/>
  <c r="C5" i="36"/>
  <c r="I7" i="36"/>
  <c r="D40" i="36"/>
  <c r="D33" i="36" s="1"/>
  <c r="I40" i="36"/>
  <c r="I33" i="36" s="1"/>
  <c r="G5" i="36"/>
  <c r="H40" i="36"/>
  <c r="H33" i="36" s="1"/>
  <c r="H5" i="36"/>
  <c r="I5" i="36"/>
  <c r="U23" i="36" l="1"/>
  <c r="BK19" i="43"/>
  <c r="BJ19" i="43"/>
  <c r="K30" i="36"/>
  <c r="J30" i="43"/>
  <c r="J28" i="43" s="1"/>
  <c r="K28" i="43" s="1"/>
  <c r="E8" i="43"/>
  <c r="E5" i="43"/>
  <c r="BD22" i="43"/>
  <c r="BJ22" i="36"/>
  <c r="BJ21" i="36" s="1"/>
  <c r="D28" i="43"/>
  <c r="D23" i="43" s="1"/>
  <c r="D4" i="43" s="1"/>
  <c r="D5" i="43"/>
  <c r="BK14" i="43"/>
  <c r="BJ14" i="43"/>
  <c r="BD13" i="43"/>
  <c r="BJ20" i="43"/>
  <c r="BK20" i="43"/>
  <c r="BC41" i="36"/>
  <c r="BC41" i="43" s="1"/>
  <c r="BB41" i="43"/>
  <c r="BC55" i="36"/>
  <c r="BC55" i="43" s="1"/>
  <c r="BB55" i="43"/>
  <c r="BK55" i="43"/>
  <c r="BJ55" i="43"/>
  <c r="BC53" i="36"/>
  <c r="BC53" i="43" s="1"/>
  <c r="BB53" i="43"/>
  <c r="BC54" i="36"/>
  <c r="BC54" i="43" s="1"/>
  <c r="BB54" i="43"/>
  <c r="BK54" i="43"/>
  <c r="BJ54" i="43"/>
  <c r="BC56" i="36"/>
  <c r="BC56" i="43" s="1"/>
  <c r="BB56" i="43"/>
  <c r="BA6" i="43"/>
  <c r="AW50" i="43"/>
  <c r="BC52" i="36"/>
  <c r="BC52" i="43" s="1"/>
  <c r="BB52" i="43"/>
  <c r="BK52" i="43"/>
  <c r="BJ52" i="43"/>
  <c r="BC51" i="36"/>
  <c r="BC51" i="43" s="1"/>
  <c r="BB51" i="43"/>
  <c r="BK51" i="43"/>
  <c r="BJ51" i="43"/>
  <c r="BD50" i="43"/>
  <c r="BC35" i="36"/>
  <c r="BC35" i="43" s="1"/>
  <c r="BB35" i="43"/>
  <c r="BB34" i="36"/>
  <c r="BB34" i="43"/>
  <c r="BA33" i="43"/>
  <c r="BK35" i="43"/>
  <c r="BJ35" i="43"/>
  <c r="BD34" i="43"/>
  <c r="O4" i="36"/>
  <c r="BD18" i="43"/>
  <c r="BJ12" i="43"/>
  <c r="BD11" i="43"/>
  <c r="BK12" i="43"/>
  <c r="BD16" i="43"/>
  <c r="BJ16" i="36"/>
  <c r="BJ15" i="36" s="1"/>
  <c r="BD9" i="43"/>
  <c r="BD8" i="36"/>
  <c r="BC9" i="36"/>
  <c r="BC9" i="43" s="1"/>
  <c r="BB9" i="43"/>
  <c r="J7" i="36"/>
  <c r="AI10" i="43"/>
  <c r="AI28" i="36"/>
  <c r="AI11" i="36"/>
  <c r="AI17" i="36"/>
  <c r="AJ23" i="36"/>
  <c r="AH23" i="36"/>
  <c r="B4" i="36"/>
  <c r="BB17" i="36"/>
  <c r="AI24" i="36"/>
  <c r="BB11" i="36"/>
  <c r="BB15" i="36"/>
  <c r="BB13" i="36"/>
  <c r="BB21" i="36"/>
  <c r="J28" i="36"/>
  <c r="K28" i="36" s="1"/>
  <c r="AI8" i="36"/>
  <c r="BB50" i="36"/>
  <c r="BB6" i="43" s="1"/>
  <c r="BB8" i="36"/>
  <c r="U40" i="36"/>
  <c r="Q4" i="36"/>
  <c r="P4" i="36"/>
  <c r="AL33" i="36"/>
  <c r="AL4" i="36" s="1"/>
  <c r="AH7" i="36"/>
  <c r="AH5" i="36"/>
  <c r="AH33" i="36"/>
  <c r="AH40" i="36"/>
  <c r="BA5" i="36"/>
  <c r="U7" i="36"/>
  <c r="J40" i="36"/>
  <c r="AW5" i="36"/>
  <c r="J33" i="36"/>
  <c r="AW40" i="36"/>
  <c r="BB40" i="36" s="1"/>
  <c r="C4" i="36"/>
  <c r="AF4" i="36"/>
  <c r="AU4" i="36"/>
  <c r="N33" i="36"/>
  <c r="N4" i="36" s="1"/>
  <c r="AN4" i="36"/>
  <c r="AK4" i="36"/>
  <c r="AY4" i="36"/>
  <c r="AE4" i="36"/>
  <c r="AX4" i="36"/>
  <c r="BA33" i="36"/>
  <c r="AM4" i="36"/>
  <c r="AW7" i="36"/>
  <c r="AT4" i="36"/>
  <c r="AV4" i="36"/>
  <c r="AC4" i="36"/>
  <c r="AD4" i="36"/>
  <c r="BA7" i="36"/>
  <c r="AZ4" i="36"/>
  <c r="AQ4" i="36"/>
  <c r="AP4" i="36"/>
  <c r="AJ7" i="36"/>
  <c r="AO4" i="36"/>
  <c r="AG4" i="36"/>
  <c r="AB4" i="36"/>
  <c r="AA4" i="36"/>
  <c r="I4" i="36"/>
  <c r="F4" i="36"/>
  <c r="H4" i="36"/>
  <c r="M4" i="36"/>
  <c r="G4" i="36"/>
  <c r="D4" i="36"/>
  <c r="J5" i="43" l="1"/>
  <c r="K5" i="43" s="1"/>
  <c r="BK22" i="43"/>
  <c r="BJ22" i="43"/>
  <c r="BJ21" i="43" s="1"/>
  <c r="BD21" i="43"/>
  <c r="BJ13" i="43"/>
  <c r="BK13" i="43"/>
  <c r="BC13" i="43"/>
  <c r="E7" i="43"/>
  <c r="J8" i="43"/>
  <c r="K8" i="43" s="1"/>
  <c r="J23" i="43"/>
  <c r="K23" i="43" s="1"/>
  <c r="AW40" i="43"/>
  <c r="BB50" i="43"/>
  <c r="BC50" i="43" s="1"/>
  <c r="BJ50" i="43"/>
  <c r="BK50" i="43"/>
  <c r="BD40" i="43"/>
  <c r="BD33" i="43" s="1"/>
  <c r="BK34" i="43"/>
  <c r="BJ34" i="43"/>
  <c r="BC34" i="43"/>
  <c r="BD17" i="43"/>
  <c r="BK18" i="43"/>
  <c r="BJ18" i="43"/>
  <c r="BJ11" i="43"/>
  <c r="BK11" i="43"/>
  <c r="BC11" i="43"/>
  <c r="BK16" i="43"/>
  <c r="BJ16" i="43"/>
  <c r="BJ15" i="43" s="1"/>
  <c r="BD15" i="43"/>
  <c r="BJ9" i="43"/>
  <c r="BK9" i="43"/>
  <c r="BD8" i="43"/>
  <c r="BD5" i="43"/>
  <c r="J4" i="36"/>
  <c r="J23" i="36"/>
  <c r="U4" i="36"/>
  <c r="AH4" i="36"/>
  <c r="BB7" i="36"/>
  <c r="AW33" i="36"/>
  <c r="BB33" i="36" s="1"/>
  <c r="AI7" i="36"/>
  <c r="BB5" i="36"/>
  <c r="AI23" i="36"/>
  <c r="U33" i="36"/>
  <c r="AW4" i="36"/>
  <c r="BA4" i="36"/>
  <c r="J7" i="43" l="1"/>
  <c r="K7" i="43" s="1"/>
  <c r="E4" i="43"/>
  <c r="J4" i="43" s="1"/>
  <c r="K4" i="43" s="1"/>
  <c r="BK21" i="43"/>
  <c r="BC21" i="43"/>
  <c r="AW33" i="43"/>
  <c r="BB33" i="43" s="1"/>
  <c r="BC33" i="43" s="1"/>
  <c r="BB40" i="43"/>
  <c r="BC40" i="43" s="1"/>
  <c r="BK40" i="43"/>
  <c r="BJ40" i="43"/>
  <c r="BK33" i="43"/>
  <c r="BJ33" i="43"/>
  <c r="BK17" i="43"/>
  <c r="BJ17" i="43"/>
  <c r="BC17" i="43"/>
  <c r="BK15" i="43"/>
  <c r="BC15" i="43"/>
  <c r="BK5" i="43"/>
  <c r="BC5" i="43"/>
  <c r="BJ5" i="43"/>
  <c r="BK8" i="43"/>
  <c r="BJ8" i="43"/>
  <c r="BD7" i="43"/>
  <c r="BC8" i="43"/>
  <c r="BB4" i="36"/>
  <c r="M33" i="40"/>
  <c r="B33" i="40"/>
  <c r="M30" i="40"/>
  <c r="M27" i="40"/>
  <c r="M25" i="40"/>
  <c r="M19" i="40"/>
  <c r="M13" i="40"/>
  <c r="M11" i="40"/>
  <c r="M9" i="40"/>
  <c r="M6" i="40"/>
  <c r="BJ7" i="43" l="1"/>
  <c r="BK7" i="43"/>
  <c r="BC7" i="43"/>
  <c r="BD4" i="43"/>
  <c r="M49" i="40"/>
  <c r="M39" i="40" s="1"/>
  <c r="M32" i="40" s="1"/>
  <c r="M15" i="40"/>
  <c r="M5" i="40" s="1"/>
  <c r="M22" i="40"/>
  <c r="M21" i="40" s="1"/>
  <c r="B49" i="40"/>
  <c r="Q49" i="40"/>
  <c r="C49" i="40"/>
  <c r="R49" i="40"/>
  <c r="D49" i="40"/>
  <c r="S49" i="40"/>
  <c r="I49" i="40"/>
  <c r="L49" i="40"/>
  <c r="J49" i="40"/>
  <c r="K49" i="40"/>
  <c r="N59" i="40"/>
  <c r="F59" i="40"/>
  <c r="N58" i="40"/>
  <c r="F58" i="40"/>
  <c r="N57" i="40"/>
  <c r="F57" i="40"/>
  <c r="N56" i="40"/>
  <c r="P56" i="40"/>
  <c r="F56" i="40"/>
  <c r="P55" i="40"/>
  <c r="N55" i="40"/>
  <c r="O55" i="40"/>
  <c r="F55" i="40"/>
  <c r="N54" i="40"/>
  <c r="P54" i="40"/>
  <c r="F54" i="40"/>
  <c r="N53" i="40"/>
  <c r="O53" i="40"/>
  <c r="F53" i="40"/>
  <c r="N52" i="40"/>
  <c r="P52" i="40"/>
  <c r="F52" i="40"/>
  <c r="N51" i="40"/>
  <c r="P51" i="40"/>
  <c r="F51" i="40"/>
  <c r="F49" i="40" s="1"/>
  <c r="P50" i="40"/>
  <c r="N50" i="40"/>
  <c r="P34" i="40"/>
  <c r="N34" i="40"/>
  <c r="F34" i="40"/>
  <c r="N31" i="40"/>
  <c r="E30" i="40"/>
  <c r="P31" i="40"/>
  <c r="F31" i="40"/>
  <c r="N29" i="40"/>
  <c r="F29" i="40"/>
  <c r="N28" i="40"/>
  <c r="F28" i="40"/>
  <c r="N26" i="40"/>
  <c r="E25" i="40"/>
  <c r="F26" i="40"/>
  <c r="O23" i="40"/>
  <c r="N23" i="40"/>
  <c r="F23" i="40"/>
  <c r="P20" i="40"/>
  <c r="N20" i="40"/>
  <c r="F20" i="40"/>
  <c r="P18" i="40"/>
  <c r="N18" i="40"/>
  <c r="F18" i="40"/>
  <c r="N17" i="40"/>
  <c r="F17" i="40"/>
  <c r="N16" i="40"/>
  <c r="P16" i="40"/>
  <c r="F16" i="40"/>
  <c r="N14" i="40"/>
  <c r="P14" i="40"/>
  <c r="F14" i="40"/>
  <c r="O12" i="40"/>
  <c r="N12" i="40"/>
  <c r="E11" i="40"/>
  <c r="P12" i="40"/>
  <c r="F12" i="40"/>
  <c r="P10" i="40"/>
  <c r="E9" i="40"/>
  <c r="N10" i="40"/>
  <c r="F10" i="40"/>
  <c r="N8" i="40"/>
  <c r="BK4" i="43" l="1"/>
  <c r="BC4" i="43"/>
  <c r="BJ4" i="43"/>
  <c r="E19" i="40"/>
  <c r="G20" i="40"/>
  <c r="E13" i="40"/>
  <c r="G14" i="40"/>
  <c r="O49" i="40"/>
  <c r="E27" i="40"/>
  <c r="M3" i="40"/>
  <c r="E15" i="40"/>
  <c r="E22" i="40"/>
  <c r="N49" i="40"/>
  <c r="P49" i="40"/>
  <c r="G57" i="40"/>
  <c r="O57" i="40"/>
  <c r="H56" i="40"/>
  <c r="G56" i="40"/>
  <c r="O56" i="40"/>
  <c r="H55" i="40"/>
  <c r="G55" i="40"/>
  <c r="H54" i="40"/>
  <c r="G54" i="40"/>
  <c r="O54" i="40"/>
  <c r="G53" i="40"/>
  <c r="H52" i="40"/>
  <c r="G52" i="40"/>
  <c r="O52" i="40"/>
  <c r="H51" i="40"/>
  <c r="G51" i="40"/>
  <c r="O51" i="40"/>
  <c r="H50" i="40"/>
  <c r="G50" i="40"/>
  <c r="O50" i="40"/>
  <c r="H34" i="40"/>
  <c r="G34" i="40"/>
  <c r="O34" i="40"/>
  <c r="O31" i="40"/>
  <c r="O29" i="40"/>
  <c r="G29" i="40"/>
  <c r="O28" i="40"/>
  <c r="G28" i="40"/>
  <c r="P26" i="40"/>
  <c r="H26" i="40"/>
  <c r="G26" i="40"/>
  <c r="O26" i="40"/>
  <c r="P23" i="40"/>
  <c r="H23" i="40"/>
  <c r="G23" i="40"/>
  <c r="H20" i="40"/>
  <c r="H18" i="40"/>
  <c r="G18" i="40"/>
  <c r="O18" i="40"/>
  <c r="P17" i="40"/>
  <c r="H17" i="40"/>
  <c r="G17" i="40"/>
  <c r="O17" i="40"/>
  <c r="H16" i="40"/>
  <c r="G16" i="40"/>
  <c r="O16" i="40"/>
  <c r="H14" i="40"/>
  <c r="H12" i="40"/>
  <c r="G12" i="40"/>
  <c r="H10" i="40"/>
  <c r="G10" i="40"/>
  <c r="O10" i="40"/>
  <c r="E5" i="40" l="1"/>
  <c r="G5" i="40" s="1"/>
  <c r="E21" i="40"/>
  <c r="G49" i="40"/>
  <c r="H49" i="40"/>
  <c r="B33" i="35"/>
  <c r="O33" i="35"/>
  <c r="N33" i="35"/>
  <c r="M33" i="35"/>
  <c r="L33" i="35"/>
  <c r="K33" i="35"/>
  <c r="J33" i="35"/>
  <c r="I33" i="35"/>
  <c r="H33" i="35"/>
  <c r="G33" i="35"/>
  <c r="F33" i="35"/>
  <c r="E33" i="35"/>
  <c r="D33" i="35"/>
  <c r="C33" i="35"/>
  <c r="S33" i="40" l="1"/>
  <c r="R33" i="40"/>
  <c r="Q33" i="40"/>
  <c r="S30" i="40"/>
  <c r="R30" i="40"/>
  <c r="Q30" i="40"/>
  <c r="S25" i="40"/>
  <c r="R25" i="40"/>
  <c r="Q25" i="40"/>
  <c r="S19" i="40"/>
  <c r="R19" i="40"/>
  <c r="G19" i="40" s="1"/>
  <c r="Q19" i="40"/>
  <c r="S13" i="40"/>
  <c r="R13" i="40"/>
  <c r="G13" i="40" s="1"/>
  <c r="Q13" i="40"/>
  <c r="S11" i="40"/>
  <c r="R11" i="40"/>
  <c r="Q11" i="40"/>
  <c r="S9" i="40"/>
  <c r="R9" i="40"/>
  <c r="Q9" i="40"/>
  <c r="E24" i="40"/>
  <c r="L33" i="40"/>
  <c r="L30" i="40"/>
  <c r="K30" i="40"/>
  <c r="J30" i="40"/>
  <c r="I30" i="40"/>
  <c r="D30" i="40"/>
  <c r="J27" i="40"/>
  <c r="L25" i="40"/>
  <c r="K25" i="40"/>
  <c r="J25" i="40"/>
  <c r="D25" i="40"/>
  <c r="L19" i="40"/>
  <c r="K19" i="40"/>
  <c r="J19" i="40"/>
  <c r="I19" i="40"/>
  <c r="D19" i="40"/>
  <c r="L13" i="40"/>
  <c r="K13" i="40"/>
  <c r="J13" i="40"/>
  <c r="I13" i="40"/>
  <c r="D13" i="40"/>
  <c r="L11" i="40"/>
  <c r="D11" i="40"/>
  <c r="I9" i="40"/>
  <c r="D9" i="40"/>
  <c r="E48" i="40"/>
  <c r="E47" i="40"/>
  <c r="E46" i="40"/>
  <c r="E45" i="40"/>
  <c r="E44" i="40"/>
  <c r="E43" i="40"/>
  <c r="E42" i="40"/>
  <c r="E41" i="40"/>
  <c r="E39" i="40"/>
  <c r="E38" i="40"/>
  <c r="E37" i="40"/>
  <c r="E36" i="40"/>
  <c r="E35" i="40"/>
  <c r="D33" i="40"/>
  <c r="BG49" i="36"/>
  <c r="BG48" i="36"/>
  <c r="BG47" i="36"/>
  <c r="BG46" i="36"/>
  <c r="BG45" i="36"/>
  <c r="BG44" i="36"/>
  <c r="BG43" i="36"/>
  <c r="BG42" i="36"/>
  <c r="BG41" i="36"/>
  <c r="BG39" i="36"/>
  <c r="BG38" i="36"/>
  <c r="BG37" i="36"/>
  <c r="BG36" i="36"/>
  <c r="AI58" i="36"/>
  <c r="AI58" i="43" s="1"/>
  <c r="V58" i="36"/>
  <c r="AI57" i="36"/>
  <c r="AI57" i="43" s="1"/>
  <c r="V57" i="36"/>
  <c r="V56" i="36"/>
  <c r="V55" i="36"/>
  <c r="V54" i="36"/>
  <c r="V53" i="36"/>
  <c r="V52" i="36"/>
  <c r="V51" i="36"/>
  <c r="BN34" i="36"/>
  <c r="BM34" i="36"/>
  <c r="BL34" i="36"/>
  <c r="BF34" i="36"/>
  <c r="BE34" i="36"/>
  <c r="Y34" i="36"/>
  <c r="V35" i="36"/>
  <c r="BN31" i="36"/>
  <c r="BM31" i="36"/>
  <c r="BL31" i="36"/>
  <c r="BC32" i="36"/>
  <c r="BC32" i="43" s="1"/>
  <c r="V32" i="36"/>
  <c r="BC30" i="36"/>
  <c r="BC30" i="43" s="1"/>
  <c r="V30" i="36"/>
  <c r="V29" i="36"/>
  <c r="BN26" i="36"/>
  <c r="BM26" i="36"/>
  <c r="BL26" i="36"/>
  <c r="BC27" i="36"/>
  <c r="BC27" i="43" s="1"/>
  <c r="V27" i="36"/>
  <c r="K27" i="36"/>
  <c r="V25" i="36"/>
  <c r="BL21" i="36"/>
  <c r="BC22" i="36"/>
  <c r="BC22" i="43" s="1"/>
  <c r="V22" i="36"/>
  <c r="K22" i="36"/>
  <c r="BC20" i="36"/>
  <c r="BC20" i="43" s="1"/>
  <c r="V20" i="36"/>
  <c r="K20" i="36"/>
  <c r="BC19" i="36"/>
  <c r="BC19" i="43" s="1"/>
  <c r="V19" i="36"/>
  <c r="K19" i="36"/>
  <c r="BC18" i="36"/>
  <c r="V18" i="36"/>
  <c r="K18" i="36"/>
  <c r="BL15" i="36"/>
  <c r="BC16" i="36"/>
  <c r="BC16" i="43" s="1"/>
  <c r="V16" i="36"/>
  <c r="K16" i="36"/>
  <c r="BL13" i="36"/>
  <c r="BC14" i="36"/>
  <c r="BC14" i="43" s="1"/>
  <c r="V14" i="36"/>
  <c r="K14" i="36"/>
  <c r="BL11" i="36"/>
  <c r="BC12" i="36"/>
  <c r="BC12" i="43" s="1"/>
  <c r="V12" i="36"/>
  <c r="K12" i="36"/>
  <c r="BC18" i="43" l="1"/>
  <c r="H35" i="40"/>
  <c r="E33" i="40"/>
  <c r="E32" i="40" s="1"/>
  <c r="AS12" i="36"/>
  <c r="AS12" i="43" s="1"/>
  <c r="AS54" i="36"/>
  <c r="AS54" i="43" s="1"/>
  <c r="AS18" i="36"/>
  <c r="AS18" i="43" s="1"/>
  <c r="AS29" i="36"/>
  <c r="AS29" i="43" s="1"/>
  <c r="AS56" i="36"/>
  <c r="AS56" i="43" s="1"/>
  <c r="AS22" i="36"/>
  <c r="AS22" i="43" s="1"/>
  <c r="AS32" i="36"/>
  <c r="AS32" i="43" s="1"/>
  <c r="AS14" i="36"/>
  <c r="AS14" i="43" s="1"/>
  <c r="AS52" i="36"/>
  <c r="AS52" i="43" s="1"/>
  <c r="AS55" i="36"/>
  <c r="AS55" i="43" s="1"/>
  <c r="AS19" i="36"/>
  <c r="AS19" i="43" s="1"/>
  <c r="AS30" i="36"/>
  <c r="AS30" i="43" s="1"/>
  <c r="AS20" i="36"/>
  <c r="AS20" i="43" s="1"/>
  <c r="AS25" i="36"/>
  <c r="AS25" i="43" s="1"/>
  <c r="AS51" i="36"/>
  <c r="AS51" i="43" s="1"/>
  <c r="AS53" i="36"/>
  <c r="AS53" i="43" s="1"/>
  <c r="AS16" i="36"/>
  <c r="AS16" i="43" s="1"/>
  <c r="AS27" i="36"/>
  <c r="AS27" i="43" s="1"/>
  <c r="Z34" i="36"/>
  <c r="W34" i="36"/>
  <c r="V34" i="36" s="1"/>
  <c r="J5" i="36"/>
  <c r="L26" i="36"/>
  <c r="K26" i="36" s="1"/>
  <c r="U5" i="36"/>
  <c r="L34" i="36"/>
  <c r="K34" i="36" s="1"/>
  <c r="AS58" i="36"/>
  <c r="AS58" i="43" s="1"/>
  <c r="AR34" i="36"/>
  <c r="AS35" i="36"/>
  <c r="AS35" i="43" s="1"/>
  <c r="AJ50" i="36"/>
  <c r="AS57" i="36"/>
  <c r="AS57" i="43" s="1"/>
  <c r="X30" i="36"/>
  <c r="X30" i="43" s="1"/>
  <c r="BH30" i="43" s="1"/>
  <c r="K27" i="40"/>
  <c r="Q6" i="40"/>
  <c r="L27" i="40"/>
  <c r="R27" i="40"/>
  <c r="S6" i="40"/>
  <c r="P7" i="40"/>
  <c r="D27" i="40"/>
  <c r="Q27" i="40"/>
  <c r="R22" i="40"/>
  <c r="D15" i="40"/>
  <c r="S15" i="40"/>
  <c r="R6" i="40"/>
  <c r="BG30" i="36"/>
  <c r="Q15" i="40"/>
  <c r="I6" i="40"/>
  <c r="R39" i="40"/>
  <c r="R32" i="40" s="1"/>
  <c r="D6" i="40"/>
  <c r="R15" i="40"/>
  <c r="Q39" i="40"/>
  <c r="Q32" i="40" s="1"/>
  <c r="Q22" i="40"/>
  <c r="S22" i="40"/>
  <c r="S27" i="40"/>
  <c r="D22" i="40"/>
  <c r="I25" i="40"/>
  <c r="I27" i="40"/>
  <c r="S39" i="40"/>
  <c r="S32" i="40" s="1"/>
  <c r="O7" i="40"/>
  <c r="G35" i="40"/>
  <c r="D39" i="40"/>
  <c r="D32" i="40" s="1"/>
  <c r="D3" i="40" s="1"/>
  <c r="BK51" i="36"/>
  <c r="X25" i="36"/>
  <c r="BG52" i="36"/>
  <c r="X58" i="36"/>
  <c r="X58" i="43" s="1"/>
  <c r="BL17" i="36"/>
  <c r="BK16" i="36"/>
  <c r="BJ56" i="36"/>
  <c r="BG19" i="36"/>
  <c r="BN24" i="36"/>
  <c r="BJ53" i="36"/>
  <c r="BG18" i="36"/>
  <c r="BG16" i="36"/>
  <c r="BG56" i="36"/>
  <c r="BJ12" i="36"/>
  <c r="BN28" i="36"/>
  <c r="BG25" i="36"/>
  <c r="BK14" i="36"/>
  <c r="BJ25" i="36"/>
  <c r="BK22" i="36"/>
  <c r="BK20" i="36"/>
  <c r="AR50" i="36"/>
  <c r="AR6" i="43" s="1"/>
  <c r="BG14" i="36"/>
  <c r="BG53" i="36"/>
  <c r="BG22" i="36"/>
  <c r="BK12" i="36"/>
  <c r="BK55" i="36"/>
  <c r="Z50" i="36"/>
  <c r="Z6" i="43" s="1"/>
  <c r="BM50" i="36"/>
  <c r="X55" i="36"/>
  <c r="BG55" i="36"/>
  <c r="X27" i="36"/>
  <c r="BG27" i="36"/>
  <c r="X54" i="36"/>
  <c r="BG54" i="36"/>
  <c r="BM24" i="36"/>
  <c r="X29" i="36"/>
  <c r="X29" i="43" s="1"/>
  <c r="BG29" i="36"/>
  <c r="X32" i="36"/>
  <c r="X32" i="43" s="1"/>
  <c r="BG32" i="36"/>
  <c r="Y50" i="36"/>
  <c r="Y6" i="43" s="1"/>
  <c r="BL50" i="36"/>
  <c r="BL28" i="36"/>
  <c r="BM28" i="36"/>
  <c r="BK19" i="36"/>
  <c r="BJ20" i="36"/>
  <c r="BK25" i="36"/>
  <c r="X18" i="36"/>
  <c r="X19" i="36"/>
  <c r="X20" i="36"/>
  <c r="BG20" i="36"/>
  <c r="X22" i="36"/>
  <c r="BD50" i="36"/>
  <c r="X12" i="36"/>
  <c r="BG12" i="36"/>
  <c r="X14" i="36"/>
  <c r="BJ29" i="36"/>
  <c r="L50" i="36"/>
  <c r="BE50" i="36"/>
  <c r="BE6" i="43" s="1"/>
  <c r="X53" i="36"/>
  <c r="X53" i="43" s="1"/>
  <c r="BH53" i="43" s="1"/>
  <c r="X51" i="36"/>
  <c r="BG51" i="36"/>
  <c r="W50" i="36"/>
  <c r="BF50" i="36"/>
  <c r="BF6" i="43" s="1"/>
  <c r="X52" i="36"/>
  <c r="BK54" i="36"/>
  <c r="BK27" i="36"/>
  <c r="BN50" i="36"/>
  <c r="BN6" i="43" s="1"/>
  <c r="X35" i="36"/>
  <c r="BL24" i="36"/>
  <c r="X56" i="36"/>
  <c r="X56" i="43" s="1"/>
  <c r="BH56" i="43" s="1"/>
  <c r="X57" i="36"/>
  <c r="X57" i="43" s="1"/>
  <c r="BK18" i="36"/>
  <c r="BG35" i="36"/>
  <c r="BK35" i="36"/>
  <c r="BK52" i="36"/>
  <c r="BJ55" i="36"/>
  <c r="BJ54" i="36"/>
  <c r="BJ52" i="36"/>
  <c r="BJ51" i="36"/>
  <c r="BJ35" i="36"/>
  <c r="BJ30" i="36"/>
  <c r="BJ27" i="36"/>
  <c r="BJ19" i="36"/>
  <c r="BJ18" i="36"/>
  <c r="BJ14" i="36"/>
  <c r="BI51" i="36" l="1"/>
  <c r="X51" i="43"/>
  <c r="BI55" i="36"/>
  <c r="X55" i="43"/>
  <c r="BI54" i="36"/>
  <c r="X54" i="43"/>
  <c r="BI35" i="36"/>
  <c r="X35" i="43"/>
  <c r="BI52" i="36"/>
  <c r="X52" i="43"/>
  <c r="X31" i="43"/>
  <c r="BI32" i="43"/>
  <c r="BH32" i="43"/>
  <c r="BH27" i="36"/>
  <c r="X27" i="43"/>
  <c r="X28" i="43"/>
  <c r="BH28" i="43" s="1"/>
  <c r="BH29" i="43"/>
  <c r="BI25" i="36"/>
  <c r="X25" i="43"/>
  <c r="X16" i="43"/>
  <c r="BH16" i="36"/>
  <c r="BH15" i="36" s="1"/>
  <c r="BI22" i="36"/>
  <c r="BH22" i="36"/>
  <c r="BH21" i="36" s="1"/>
  <c r="X22" i="43"/>
  <c r="BI14" i="36"/>
  <c r="X14" i="43"/>
  <c r="BI20" i="36"/>
  <c r="X20" i="43"/>
  <c r="BH19" i="36"/>
  <c r="X19" i="43"/>
  <c r="BH18" i="36"/>
  <c r="X18" i="43"/>
  <c r="V50" i="36"/>
  <c r="W6" i="43"/>
  <c r="V6" i="43" s="1"/>
  <c r="AI50" i="36"/>
  <c r="AI6" i="36" s="1"/>
  <c r="AI6" i="43" s="1"/>
  <c r="AJ6" i="43"/>
  <c r="K50" i="36"/>
  <c r="L6" i="43"/>
  <c r="K6" i="43" s="1"/>
  <c r="L5" i="36"/>
  <c r="BG6" i="43"/>
  <c r="BM40" i="36"/>
  <c r="BM33" i="36" s="1"/>
  <c r="BM6" i="43"/>
  <c r="BL40" i="36"/>
  <c r="BL33" i="36" s="1"/>
  <c r="BL6" i="43"/>
  <c r="BM23" i="36"/>
  <c r="Q21" i="40"/>
  <c r="O21" i="40" s="1"/>
  <c r="BC50" i="36"/>
  <c r="BD6" i="43"/>
  <c r="BL23" i="36"/>
  <c r="BI12" i="36"/>
  <c r="X12" i="43"/>
  <c r="S21" i="40"/>
  <c r="P21" i="40" s="1"/>
  <c r="D21" i="40"/>
  <c r="R21" i="40"/>
  <c r="BN23" i="36"/>
  <c r="BH30" i="36"/>
  <c r="L40" i="36"/>
  <c r="K40" i="36" s="1"/>
  <c r="AS34" i="36"/>
  <c r="AJ40" i="36"/>
  <c r="AI40" i="36" s="1"/>
  <c r="AS50" i="36"/>
  <c r="AS6" i="43" s="1"/>
  <c r="AJ5" i="36"/>
  <c r="AI5" i="36" s="1"/>
  <c r="BI16" i="36"/>
  <c r="Q5" i="40"/>
  <c r="O5" i="40" s="1"/>
  <c r="S5" i="40"/>
  <c r="BH25" i="36"/>
  <c r="R5" i="40"/>
  <c r="BH55" i="36"/>
  <c r="BH12" i="36"/>
  <c r="BH29" i="36"/>
  <c r="BI18" i="36"/>
  <c r="BH54" i="36"/>
  <c r="BH14" i="36"/>
  <c r="BH20" i="36"/>
  <c r="BI27" i="36"/>
  <c r="BI19" i="36"/>
  <c r="BH56" i="36"/>
  <c r="BH35" i="36"/>
  <c r="BH51" i="36"/>
  <c r="BH53" i="36"/>
  <c r="BN40" i="36"/>
  <c r="BN33" i="36" s="1"/>
  <c r="BH52" i="36"/>
  <c r="X50" i="36"/>
  <c r="BI51" i="43" l="1"/>
  <c r="BH51" i="43"/>
  <c r="BI55" i="43"/>
  <c r="BH55" i="43"/>
  <c r="BH54" i="43"/>
  <c r="BI54" i="43"/>
  <c r="BI35" i="43"/>
  <c r="BH35" i="43"/>
  <c r="X34" i="43"/>
  <c r="BH52" i="43"/>
  <c r="BI52" i="43"/>
  <c r="BI31" i="43"/>
  <c r="BH31" i="43"/>
  <c r="BI27" i="43"/>
  <c r="X26" i="43"/>
  <c r="BH27" i="43"/>
  <c r="BH25" i="43"/>
  <c r="X24" i="43"/>
  <c r="BI25" i="43"/>
  <c r="BI16" i="43"/>
  <c r="X15" i="43"/>
  <c r="BI15" i="43" s="1"/>
  <c r="BH16" i="43"/>
  <c r="BH15" i="43" s="1"/>
  <c r="BI22" i="43"/>
  <c r="BH22" i="43"/>
  <c r="BH21" i="43" s="1"/>
  <c r="X21" i="43"/>
  <c r="BI21" i="43" s="1"/>
  <c r="BI14" i="43"/>
  <c r="BH14" i="43"/>
  <c r="X13" i="43"/>
  <c r="BH20" i="43"/>
  <c r="BI20" i="43"/>
  <c r="BI19" i="43"/>
  <c r="BH19" i="43"/>
  <c r="X17" i="43"/>
  <c r="BI18" i="43"/>
  <c r="BH18" i="43"/>
  <c r="X50" i="43"/>
  <c r="BK6" i="43"/>
  <c r="BJ6" i="43"/>
  <c r="BH12" i="43"/>
  <c r="X11" i="43"/>
  <c r="BI12" i="43"/>
  <c r="R3" i="40"/>
  <c r="AJ33" i="36"/>
  <c r="AI33" i="36" s="1"/>
  <c r="L33" i="36"/>
  <c r="Q3" i="40"/>
  <c r="S3" i="40"/>
  <c r="BN21" i="36"/>
  <c r="BM21" i="36"/>
  <c r="BN17" i="36"/>
  <c r="BM17" i="36"/>
  <c r="BN15" i="36"/>
  <c r="BM15" i="36"/>
  <c r="BN13" i="36"/>
  <c r="BM13" i="36"/>
  <c r="BN11" i="36"/>
  <c r="BM11" i="36"/>
  <c r="BE13" i="36"/>
  <c r="BF11" i="36"/>
  <c r="BE40" i="36"/>
  <c r="BE33" i="36" s="1"/>
  <c r="BF31" i="36"/>
  <c r="BE31" i="36"/>
  <c r="BF28" i="36"/>
  <c r="BE28" i="36"/>
  <c r="BF26" i="36"/>
  <c r="BE26" i="36"/>
  <c r="BF24" i="36"/>
  <c r="BE24" i="36"/>
  <c r="BF21" i="36"/>
  <c r="BE21" i="36"/>
  <c r="BF17" i="36"/>
  <c r="BE17" i="36"/>
  <c r="BF15" i="36"/>
  <c r="BE15" i="36"/>
  <c r="BE11" i="36"/>
  <c r="AR24" i="36"/>
  <c r="O3" i="40" l="1"/>
  <c r="G3" i="40"/>
  <c r="BI34" i="43"/>
  <c r="BH34" i="43"/>
  <c r="BH26" i="43"/>
  <c r="BI26" i="43"/>
  <c r="BI24" i="43"/>
  <c r="BH24" i="43"/>
  <c r="X23" i="43"/>
  <c r="BI13" i="43"/>
  <c r="BH13" i="43"/>
  <c r="BI17" i="43"/>
  <c r="BH17" i="43"/>
  <c r="BI50" i="43"/>
  <c r="BH50" i="43"/>
  <c r="BI11" i="43"/>
  <c r="BH11" i="43"/>
  <c r="K33" i="36"/>
  <c r="BE23" i="36"/>
  <c r="BF23" i="36"/>
  <c r="AJ4" i="36"/>
  <c r="AI4" i="36" s="1"/>
  <c r="AS24" i="36"/>
  <c r="BG11" i="36"/>
  <c r="BG31" i="36"/>
  <c r="BE5" i="36"/>
  <c r="BG10" i="36"/>
  <c r="BG21" i="36"/>
  <c r="BL8" i="36"/>
  <c r="BL7" i="36" s="1"/>
  <c r="BL5" i="36"/>
  <c r="BE8" i="36"/>
  <c r="BE7" i="36" s="1"/>
  <c r="BM5" i="36"/>
  <c r="BM8" i="36"/>
  <c r="BM7" i="36" s="1"/>
  <c r="BM4" i="36" s="1"/>
  <c r="BN8" i="36"/>
  <c r="BN7" i="36" s="1"/>
  <c r="BN4" i="36" s="1"/>
  <c r="BN5" i="36"/>
  <c r="BF5" i="36"/>
  <c r="BG34" i="36"/>
  <c r="BG28" i="36"/>
  <c r="BG26" i="36"/>
  <c r="BG24" i="36"/>
  <c r="BG17" i="36"/>
  <c r="BG15" i="36"/>
  <c r="BF8" i="36"/>
  <c r="BI23" i="43" l="1"/>
  <c r="BH23" i="43"/>
  <c r="BG23" i="36"/>
  <c r="BL4" i="36"/>
  <c r="BG5" i="36"/>
  <c r="BG8" i="36"/>
  <c r="BE4" i="36"/>
  <c r="X49" i="36" l="1"/>
  <c r="X48" i="36"/>
  <c r="X47" i="36"/>
  <c r="X46" i="36"/>
  <c r="X45" i="36"/>
  <c r="X44" i="36"/>
  <c r="X43" i="36"/>
  <c r="X42" i="36"/>
  <c r="X41" i="36"/>
  <c r="X39" i="36"/>
  <c r="X38" i="36"/>
  <c r="X37" i="36"/>
  <c r="X36" i="36"/>
  <c r="X41" i="43" l="1"/>
  <c r="X40" i="43" s="1"/>
  <c r="X6" i="43"/>
  <c r="BK36" i="36"/>
  <c r="BJ36" i="36"/>
  <c r="BD34" i="36"/>
  <c r="BC34" i="36" s="1"/>
  <c r="BK45" i="36"/>
  <c r="BJ45" i="36"/>
  <c r="BK49" i="36"/>
  <c r="BJ49" i="36"/>
  <c r="BI37" i="36"/>
  <c r="BH37" i="36"/>
  <c r="BI42" i="36"/>
  <c r="BH42" i="36"/>
  <c r="BI46" i="36"/>
  <c r="BH46" i="36"/>
  <c r="BK37" i="36"/>
  <c r="BJ37" i="36"/>
  <c r="BJ42" i="36"/>
  <c r="BK42" i="36"/>
  <c r="BK46" i="36"/>
  <c r="BJ46" i="36"/>
  <c r="BH49" i="36"/>
  <c r="BI49" i="36"/>
  <c r="BI38" i="36"/>
  <c r="BH38" i="36"/>
  <c r="BI43" i="36"/>
  <c r="BH43" i="36"/>
  <c r="BI47" i="36"/>
  <c r="BH47" i="36"/>
  <c r="BJ38" i="36"/>
  <c r="BK38" i="36"/>
  <c r="BK43" i="36"/>
  <c r="BJ43" i="36"/>
  <c r="BJ47" i="36"/>
  <c r="BK47" i="36"/>
  <c r="BI45" i="36"/>
  <c r="BH45" i="36"/>
  <c r="BI39" i="36"/>
  <c r="BH39" i="36"/>
  <c r="BH44" i="36"/>
  <c r="BI44" i="36"/>
  <c r="BI48" i="36"/>
  <c r="BH48" i="36"/>
  <c r="BI36" i="36"/>
  <c r="BH36" i="36"/>
  <c r="X34" i="36"/>
  <c r="BK39" i="36"/>
  <c r="BJ39" i="36"/>
  <c r="BK44" i="36"/>
  <c r="BJ44" i="36"/>
  <c r="BK48" i="36"/>
  <c r="BJ48" i="36"/>
  <c r="BI6" i="43" l="1"/>
  <c r="BH6" i="43"/>
  <c r="X33" i="43"/>
  <c r="BI40" i="43"/>
  <c r="BH40" i="43"/>
  <c r="Y24" i="36"/>
  <c r="W24" i="36"/>
  <c r="BH33" i="43" l="1"/>
  <c r="BI33" i="43"/>
  <c r="V24" i="36"/>
  <c r="Z24" i="36"/>
  <c r="BD24" i="36"/>
  <c r="BC24" i="36" l="1"/>
  <c r="X24" i="36"/>
  <c r="E8" i="40"/>
  <c r="BC10" i="36"/>
  <c r="V10" i="36"/>
  <c r="K10" i="36"/>
  <c r="K6" i="36" l="1"/>
  <c r="V6" i="36"/>
  <c r="BC10" i="43"/>
  <c r="BC6" i="43"/>
  <c r="H5" i="40"/>
  <c r="V9" i="36"/>
  <c r="X9" i="36"/>
  <c r="X9" i="43" s="1"/>
  <c r="AR5" i="36"/>
  <c r="BD5" i="36"/>
  <c r="AR8" i="36"/>
  <c r="W8" i="36"/>
  <c r="V8" i="36" s="1"/>
  <c r="Y8" i="36"/>
  <c r="H7" i="40"/>
  <c r="G7" i="40"/>
  <c r="H8" i="40"/>
  <c r="G8" i="40"/>
  <c r="Z8" i="36"/>
  <c r="BJ9" i="36"/>
  <c r="BK9" i="36"/>
  <c r="BC8" i="36"/>
  <c r="BK10" i="36"/>
  <c r="BJ10" i="36"/>
  <c r="BI9" i="43" l="1"/>
  <c r="BH9" i="43"/>
  <c r="X8" i="43"/>
  <c r="X5" i="43"/>
  <c r="BC5" i="36"/>
  <c r="H3" i="40"/>
  <c r="AS8" i="36"/>
  <c r="BK8" i="36"/>
  <c r="BJ8" i="36"/>
  <c r="K5" i="36"/>
  <c r="BI5" i="43" l="1"/>
  <c r="BH5" i="43"/>
  <c r="X7" i="43"/>
  <c r="BH8" i="43"/>
  <c r="BI8" i="43"/>
  <c r="D39" i="31"/>
  <c r="D38" i="31"/>
  <c r="D37" i="31"/>
  <c r="D36" i="31"/>
  <c r="M20" i="31"/>
  <c r="D20" i="31"/>
  <c r="AN28" i="31"/>
  <c r="AH21" i="31"/>
  <c r="AH3" i="31"/>
  <c r="Q3" i="31"/>
  <c r="T19" i="31"/>
  <c r="D19" i="31"/>
  <c r="G19" i="31"/>
  <c r="E30" i="35"/>
  <c r="Y5" i="36"/>
  <c r="K13" i="31"/>
  <c r="BI7" i="43" l="1"/>
  <c r="X4" i="43"/>
  <c r="BH7" i="43"/>
  <c r="AD9" i="35"/>
  <c r="BI4" i="43" l="1"/>
  <c r="BH4" i="43"/>
  <c r="K43" i="35" l="1"/>
  <c r="H43" i="35"/>
  <c r="P24" i="40" l="1"/>
  <c r="P36" i="40"/>
  <c r="P37" i="40"/>
  <c r="P38" i="40"/>
  <c r="P41" i="40"/>
  <c r="P42" i="40"/>
  <c r="P43" i="40"/>
  <c r="P44" i="40"/>
  <c r="P45" i="40"/>
  <c r="P46" i="40"/>
  <c r="P47" i="40"/>
  <c r="P48" i="40"/>
  <c r="P8" i="40"/>
  <c r="O48" i="40"/>
  <c r="O47" i="40"/>
  <c r="O46" i="40"/>
  <c r="O45" i="40"/>
  <c r="O44" i="40"/>
  <c r="O43" i="40"/>
  <c r="O42" i="40"/>
  <c r="O41" i="40"/>
  <c r="O38" i="40"/>
  <c r="O37" i="40"/>
  <c r="O36" i="40"/>
  <c r="O24" i="40"/>
  <c r="O8" i="40"/>
  <c r="H24" i="40"/>
  <c r="H36" i="40"/>
  <c r="H37" i="40"/>
  <c r="H38" i="40"/>
  <c r="H41" i="40"/>
  <c r="H42" i="40"/>
  <c r="H43" i="40"/>
  <c r="H44" i="40"/>
  <c r="H45" i="40"/>
  <c r="H46" i="40"/>
  <c r="H47" i="40"/>
  <c r="H48" i="40"/>
  <c r="G24" i="40"/>
  <c r="G36" i="40"/>
  <c r="G37" i="40"/>
  <c r="G38" i="40"/>
  <c r="G41" i="40"/>
  <c r="G42" i="40"/>
  <c r="G43" i="40"/>
  <c r="G44" i="40"/>
  <c r="G45" i="40"/>
  <c r="G46" i="40"/>
  <c r="G47" i="40"/>
  <c r="G48" i="40"/>
  <c r="N24" i="40"/>
  <c r="N36" i="40"/>
  <c r="N37" i="40"/>
  <c r="N38" i="40"/>
  <c r="N42" i="40"/>
  <c r="N43" i="40"/>
  <c r="N44" i="40"/>
  <c r="N45" i="40"/>
  <c r="N46" i="40"/>
  <c r="N47" i="40"/>
  <c r="N48" i="40"/>
  <c r="F40" i="40"/>
  <c r="K33" i="40"/>
  <c r="N35" i="40"/>
  <c r="F35" i="40"/>
  <c r="P33" i="40"/>
  <c r="F30" i="40"/>
  <c r="C30" i="40"/>
  <c r="F27" i="40"/>
  <c r="C27" i="40"/>
  <c r="B27" i="40"/>
  <c r="P25" i="40"/>
  <c r="F25" i="40"/>
  <c r="C25" i="40"/>
  <c r="B25" i="40"/>
  <c r="K22" i="40"/>
  <c r="K21" i="40" s="1"/>
  <c r="J22" i="40"/>
  <c r="J21" i="40" s="1"/>
  <c r="F22" i="40"/>
  <c r="C22" i="40"/>
  <c r="C21" i="40" s="1"/>
  <c r="F19" i="40"/>
  <c r="C19" i="40"/>
  <c r="B19" i="40"/>
  <c r="P15" i="40"/>
  <c r="F13" i="40"/>
  <c r="H13" i="40"/>
  <c r="C13" i="40"/>
  <c r="K11" i="40"/>
  <c r="J11" i="40"/>
  <c r="H11" i="40"/>
  <c r="C11" i="40"/>
  <c r="O9" i="40"/>
  <c r="L9" i="40"/>
  <c r="J9" i="40"/>
  <c r="F9" i="40"/>
  <c r="C9" i="40"/>
  <c r="F8" i="40"/>
  <c r="F7" i="40"/>
  <c r="L6" i="40"/>
  <c r="B6" i="40"/>
  <c r="P30" i="40"/>
  <c r="B30" i="40"/>
  <c r="G25" i="40"/>
  <c r="O22" i="40"/>
  <c r="L22" i="40"/>
  <c r="L21" i="40" s="1"/>
  <c r="I22" i="40"/>
  <c r="I21" i="40" s="1"/>
  <c r="B22" i="40"/>
  <c r="C15" i="40"/>
  <c r="C5" i="40" s="1"/>
  <c r="B13" i="40"/>
  <c r="P11" i="40"/>
  <c r="I11" i="40"/>
  <c r="F11" i="40"/>
  <c r="B11" i="40"/>
  <c r="K9" i="40"/>
  <c r="B9" i="40"/>
  <c r="B118" i="40"/>
  <c r="C109" i="40"/>
  <c r="C99" i="40" s="1"/>
  <c r="D109" i="40"/>
  <c r="D99" i="40" s="1"/>
  <c r="E109" i="40"/>
  <c r="E99" i="40" s="1"/>
  <c r="F109" i="40"/>
  <c r="F50" i="40" s="1"/>
  <c r="I109" i="40"/>
  <c r="J109" i="40"/>
  <c r="K109" i="40"/>
  <c r="K99" i="40" s="1"/>
  <c r="L109" i="40"/>
  <c r="L99" i="40" s="1"/>
  <c r="M109" i="40"/>
  <c r="M99" i="40" s="1"/>
  <c r="B109" i="40"/>
  <c r="B99" i="40" s="1"/>
  <c r="C92" i="40"/>
  <c r="D92" i="40"/>
  <c r="E92" i="40"/>
  <c r="F92" i="40"/>
  <c r="I92" i="40"/>
  <c r="J92" i="40"/>
  <c r="K92" i="40"/>
  <c r="L92" i="40"/>
  <c r="M92" i="40"/>
  <c r="B92" i="40"/>
  <c r="C89" i="40"/>
  <c r="D89" i="40"/>
  <c r="E89" i="40"/>
  <c r="F89" i="40"/>
  <c r="I89" i="40"/>
  <c r="J89" i="40"/>
  <c r="K89" i="40"/>
  <c r="L89" i="40"/>
  <c r="M89" i="40"/>
  <c r="B89" i="40"/>
  <c r="C86" i="40"/>
  <c r="D86" i="40"/>
  <c r="E86" i="40"/>
  <c r="F86" i="40"/>
  <c r="I86" i="40"/>
  <c r="J86" i="40"/>
  <c r="K86" i="40"/>
  <c r="L86" i="40"/>
  <c r="M86" i="40"/>
  <c r="B86" i="40"/>
  <c r="C84" i="40"/>
  <c r="D84" i="40"/>
  <c r="E84" i="40"/>
  <c r="F84" i="40"/>
  <c r="I84" i="40"/>
  <c r="J84" i="40"/>
  <c r="K84" i="40"/>
  <c r="L84" i="40"/>
  <c r="M84" i="40"/>
  <c r="B84" i="40"/>
  <c r="C78" i="40"/>
  <c r="D78" i="40"/>
  <c r="E78" i="40"/>
  <c r="F78" i="40"/>
  <c r="I78" i="40"/>
  <c r="J78" i="40"/>
  <c r="K78" i="40"/>
  <c r="L78" i="40"/>
  <c r="M78" i="40"/>
  <c r="B78" i="40"/>
  <c r="C75" i="40"/>
  <c r="D75" i="40"/>
  <c r="E75" i="40"/>
  <c r="F75" i="40"/>
  <c r="I75" i="40"/>
  <c r="J75" i="40"/>
  <c r="K75" i="40"/>
  <c r="L75" i="40"/>
  <c r="M75" i="40"/>
  <c r="B75" i="40"/>
  <c r="C71" i="40"/>
  <c r="D71" i="40"/>
  <c r="E71" i="40"/>
  <c r="F71" i="40"/>
  <c r="I71" i="40"/>
  <c r="J71" i="40"/>
  <c r="K71" i="40"/>
  <c r="L71" i="40"/>
  <c r="M71" i="40"/>
  <c r="B71" i="40"/>
  <c r="C69" i="40"/>
  <c r="D69" i="40"/>
  <c r="E69" i="40"/>
  <c r="F69" i="40"/>
  <c r="I69" i="40"/>
  <c r="J69" i="40"/>
  <c r="K69" i="40"/>
  <c r="L69" i="40"/>
  <c r="M69" i="40"/>
  <c r="B69" i="40"/>
  <c r="C67" i="40"/>
  <c r="D67" i="40"/>
  <c r="E67" i="40"/>
  <c r="F67" i="40"/>
  <c r="I67" i="40"/>
  <c r="J67" i="40"/>
  <c r="K67" i="40"/>
  <c r="L67" i="40"/>
  <c r="M67" i="40"/>
  <c r="B67" i="40"/>
  <c r="C65" i="40"/>
  <c r="D65" i="40"/>
  <c r="E65" i="40"/>
  <c r="F65" i="40"/>
  <c r="I65" i="40"/>
  <c r="J65" i="40"/>
  <c r="K65" i="40"/>
  <c r="L65" i="40"/>
  <c r="M65" i="40"/>
  <c r="B65" i="40"/>
  <c r="C62" i="40"/>
  <c r="D62" i="40"/>
  <c r="E62" i="40"/>
  <c r="F62" i="40"/>
  <c r="I62" i="40"/>
  <c r="J62" i="40"/>
  <c r="K62" i="40"/>
  <c r="L62" i="40"/>
  <c r="M62" i="40"/>
  <c r="B62" i="40"/>
  <c r="I36" i="37"/>
  <c r="I37" i="37"/>
  <c r="I38" i="37"/>
  <c r="B21" i="40" l="1"/>
  <c r="N21" i="40"/>
  <c r="G6" i="40"/>
  <c r="H9" i="40"/>
  <c r="G9" i="40"/>
  <c r="J99" i="40"/>
  <c r="I99" i="40"/>
  <c r="I91" i="40" s="1"/>
  <c r="C33" i="40"/>
  <c r="H22" i="40"/>
  <c r="O6" i="40"/>
  <c r="N30" i="40"/>
  <c r="E91" i="40"/>
  <c r="E61" i="40"/>
  <c r="K91" i="40"/>
  <c r="N40" i="40"/>
  <c r="K39" i="40"/>
  <c r="K32" i="40" s="1"/>
  <c r="C6" i="40"/>
  <c r="F61" i="40"/>
  <c r="L77" i="40"/>
  <c r="B91" i="40"/>
  <c r="D61" i="40"/>
  <c r="I33" i="40"/>
  <c r="B61" i="40"/>
  <c r="K6" i="40"/>
  <c r="M61" i="40"/>
  <c r="C61" i="40"/>
  <c r="I77" i="40"/>
  <c r="O11" i="40"/>
  <c r="L61" i="40"/>
  <c r="F77" i="40"/>
  <c r="J77" i="40"/>
  <c r="K61" i="40"/>
  <c r="J6" i="40"/>
  <c r="J61" i="40"/>
  <c r="B77" i="40"/>
  <c r="D77" i="40"/>
  <c r="F99" i="40"/>
  <c r="F91" i="40" s="1"/>
  <c r="N9" i="40"/>
  <c r="P9" i="40"/>
  <c r="I61" i="40"/>
  <c r="M77" i="40"/>
  <c r="C77" i="40"/>
  <c r="F6" i="40"/>
  <c r="O33" i="40"/>
  <c r="O30" i="40"/>
  <c r="O27" i="40"/>
  <c r="N19" i="40"/>
  <c r="P19" i="40"/>
  <c r="O15" i="40"/>
  <c r="N13" i="40"/>
  <c r="P13" i="40"/>
  <c r="N11" i="40"/>
  <c r="P6" i="40"/>
  <c r="O25" i="40"/>
  <c r="H25" i="40"/>
  <c r="P22" i="40"/>
  <c r="N22" i="40"/>
  <c r="H6" i="40"/>
  <c r="I15" i="40"/>
  <c r="I5" i="40" s="1"/>
  <c r="G11" i="40"/>
  <c r="H19" i="40"/>
  <c r="K77" i="40"/>
  <c r="E77" i="40"/>
  <c r="I39" i="40"/>
  <c r="C39" i="40"/>
  <c r="G27" i="40"/>
  <c r="L91" i="40"/>
  <c r="J91" i="40"/>
  <c r="D91" i="40"/>
  <c r="N25" i="40"/>
  <c r="F15" i="40"/>
  <c r="L39" i="40"/>
  <c r="M91" i="40"/>
  <c r="C91" i="40"/>
  <c r="F39" i="40"/>
  <c r="B15" i="40"/>
  <c r="B5" i="40" s="1"/>
  <c r="L15" i="40"/>
  <c r="L5" i="40" s="1"/>
  <c r="J33" i="40"/>
  <c r="F33" i="40"/>
  <c r="B39" i="40"/>
  <c r="J39" i="40"/>
  <c r="F21" i="40"/>
  <c r="J15" i="40"/>
  <c r="K15" i="40"/>
  <c r="E50" i="32"/>
  <c r="D50" i="32"/>
  <c r="C50" i="32"/>
  <c r="B50" i="32"/>
  <c r="E42" i="32"/>
  <c r="D42" i="32"/>
  <c r="C42" i="32"/>
  <c r="B42" i="32"/>
  <c r="E40" i="32"/>
  <c r="D40" i="32"/>
  <c r="E36" i="32"/>
  <c r="E34" i="32" s="1"/>
  <c r="E33" i="32" s="1"/>
  <c r="D36" i="32"/>
  <c r="C36" i="32"/>
  <c r="B36" i="32"/>
  <c r="D34" i="32"/>
  <c r="C34" i="32"/>
  <c r="B34" i="32"/>
  <c r="E31" i="32"/>
  <c r="D31" i="32"/>
  <c r="C31" i="32"/>
  <c r="B31" i="32"/>
  <c r="E28" i="32"/>
  <c r="D28" i="32"/>
  <c r="C28" i="32"/>
  <c r="B28" i="32"/>
  <c r="E26" i="32"/>
  <c r="D26" i="32"/>
  <c r="C26" i="32"/>
  <c r="B26" i="32"/>
  <c r="E23" i="32"/>
  <c r="D23" i="32"/>
  <c r="C23" i="32"/>
  <c r="B23" i="32"/>
  <c r="E20" i="32"/>
  <c r="D20" i="32"/>
  <c r="C20" i="32"/>
  <c r="B20" i="32"/>
  <c r="E17" i="32"/>
  <c r="D17" i="32"/>
  <c r="C17" i="32"/>
  <c r="B17" i="32"/>
  <c r="E13" i="32"/>
  <c r="D13" i="32"/>
  <c r="C13" i="32"/>
  <c r="B13" i="32"/>
  <c r="E11" i="32"/>
  <c r="D11" i="32"/>
  <c r="C11" i="32"/>
  <c r="B11" i="32"/>
  <c r="E9" i="32"/>
  <c r="D9" i="32"/>
  <c r="C9" i="32"/>
  <c r="B9" i="32"/>
  <c r="E7" i="32"/>
  <c r="D7" i="32"/>
  <c r="C7" i="32"/>
  <c r="B7" i="32"/>
  <c r="E4" i="32"/>
  <c r="D4" i="32"/>
  <c r="C4" i="32"/>
  <c r="B4" i="32"/>
  <c r="E3" i="32"/>
  <c r="BK50" i="36"/>
  <c r="BH50" i="36"/>
  <c r="AR31" i="36"/>
  <c r="Z31" i="36"/>
  <c r="W31" i="36"/>
  <c r="V31" i="36" s="1"/>
  <c r="L31" i="36"/>
  <c r="K31" i="36" s="1"/>
  <c r="Y31" i="36"/>
  <c r="Z28" i="36"/>
  <c r="Y28" i="36"/>
  <c r="W26" i="36"/>
  <c r="Z26" i="36"/>
  <c r="Y26" i="36"/>
  <c r="Y23" i="36" s="1"/>
  <c r="W21" i="36"/>
  <c r="V21" i="36" s="1"/>
  <c r="L21" i="36"/>
  <c r="K21" i="36" s="1"/>
  <c r="Z21" i="36"/>
  <c r="Y21" i="36"/>
  <c r="Z17" i="36"/>
  <c r="Y17" i="36"/>
  <c r="Z15" i="36"/>
  <c r="Y15" i="36"/>
  <c r="W13" i="36"/>
  <c r="V13" i="36" s="1"/>
  <c r="BF13" i="36"/>
  <c r="Z13" i="36"/>
  <c r="Y13" i="36"/>
  <c r="AR11" i="36"/>
  <c r="W11" i="36"/>
  <c r="V11" i="36" s="1"/>
  <c r="L11" i="36"/>
  <c r="K11" i="36" s="1"/>
  <c r="Z11" i="36"/>
  <c r="Y11" i="36"/>
  <c r="Y7" i="36" s="1"/>
  <c r="AI47" i="35"/>
  <c r="AI43" i="35" s="1"/>
  <c r="AH47" i="35"/>
  <c r="AG47" i="35"/>
  <c r="AG43" i="35" s="1"/>
  <c r="AF47" i="35"/>
  <c r="AF43" i="35" s="1"/>
  <c r="AE47" i="35"/>
  <c r="AD47" i="35"/>
  <c r="AC47" i="35"/>
  <c r="AB47" i="35"/>
  <c r="AB43" i="35" s="1"/>
  <c r="AA47" i="35"/>
  <c r="Z47" i="35"/>
  <c r="Y47" i="35"/>
  <c r="X47" i="35"/>
  <c r="W47" i="35"/>
  <c r="V47" i="35"/>
  <c r="U47" i="35"/>
  <c r="T47" i="35"/>
  <c r="T43" i="35" s="1"/>
  <c r="S47" i="35"/>
  <c r="S43" i="35" s="1"/>
  <c r="R47" i="35"/>
  <c r="Q47" i="35"/>
  <c r="Q43" i="35" s="1"/>
  <c r="P47" i="35"/>
  <c r="P43" i="35" s="1"/>
  <c r="L43" i="35"/>
  <c r="X46" i="35"/>
  <c r="W46" i="35"/>
  <c r="V46" i="35"/>
  <c r="U46" i="35"/>
  <c r="T46" i="35"/>
  <c r="AH43" i="35"/>
  <c r="AE43" i="35"/>
  <c r="AD43" i="35"/>
  <c r="AC43" i="35"/>
  <c r="AA43" i="35"/>
  <c r="Z43" i="35"/>
  <c r="Y43" i="35"/>
  <c r="W43" i="35"/>
  <c r="R43" i="35"/>
  <c r="O43" i="35"/>
  <c r="N43" i="35"/>
  <c r="M43" i="35"/>
  <c r="J43" i="35"/>
  <c r="I43" i="35"/>
  <c r="G43" i="35"/>
  <c r="F43" i="35"/>
  <c r="E43" i="35"/>
  <c r="D43" i="35"/>
  <c r="C43" i="35"/>
  <c r="B43" i="35"/>
  <c r="AI39" i="35"/>
  <c r="AI36" i="35" s="1"/>
  <c r="AH39" i="35"/>
  <c r="AH36" i="35" s="1"/>
  <c r="AG39" i="35"/>
  <c r="AG36" i="35" s="1"/>
  <c r="AF39" i="35"/>
  <c r="AE39" i="35"/>
  <c r="AE36" i="35" s="1"/>
  <c r="AE35" i="35" s="1"/>
  <c r="AD39" i="35"/>
  <c r="AC39" i="35"/>
  <c r="AC36" i="35" s="1"/>
  <c r="AB39" i="35"/>
  <c r="AA39" i="35"/>
  <c r="Z39" i="35"/>
  <c r="Z36" i="35" s="1"/>
  <c r="Y39" i="35"/>
  <c r="Y36" i="35" s="1"/>
  <c r="X39" i="35"/>
  <c r="W39" i="35"/>
  <c r="V39" i="35"/>
  <c r="U39" i="35"/>
  <c r="U36" i="35" s="1"/>
  <c r="T39" i="35"/>
  <c r="T36" i="35" s="1"/>
  <c r="S39" i="35"/>
  <c r="S36" i="35" s="1"/>
  <c r="R39" i="35"/>
  <c r="Q39" i="35"/>
  <c r="Q36" i="35" s="1"/>
  <c r="P39" i="35"/>
  <c r="N36" i="35"/>
  <c r="M36" i="35"/>
  <c r="L36" i="35"/>
  <c r="J36" i="35"/>
  <c r="I36" i="35"/>
  <c r="E36" i="35"/>
  <c r="AF36" i="35"/>
  <c r="AD36" i="35"/>
  <c r="AB36" i="35"/>
  <c r="AA36" i="35"/>
  <c r="X36" i="35"/>
  <c r="W36" i="35"/>
  <c r="V36" i="35"/>
  <c r="R36" i="35"/>
  <c r="P36" i="35"/>
  <c r="O36" i="35"/>
  <c r="K36" i="35"/>
  <c r="K35" i="35" s="1"/>
  <c r="H36" i="35"/>
  <c r="G36" i="35"/>
  <c r="F36" i="35"/>
  <c r="F35" i="35" s="1"/>
  <c r="D36" i="35"/>
  <c r="C36" i="35"/>
  <c r="B36" i="35"/>
  <c r="AA35" i="35"/>
  <c r="AI33" i="35"/>
  <c r="AH33" i="35"/>
  <c r="AG33" i="35"/>
  <c r="AF33" i="35"/>
  <c r="AE33" i="35"/>
  <c r="AD33" i="35"/>
  <c r="AC33" i="35"/>
  <c r="AB33" i="35"/>
  <c r="AA33" i="35"/>
  <c r="Z33" i="35"/>
  <c r="Y33" i="35"/>
  <c r="X33" i="35"/>
  <c r="W33" i="35"/>
  <c r="V33" i="35"/>
  <c r="U33" i="35"/>
  <c r="T33" i="35"/>
  <c r="S33" i="35"/>
  <c r="R33" i="35"/>
  <c r="Q33" i="35"/>
  <c r="P33" i="35"/>
  <c r="AI30" i="35"/>
  <c r="AH30" i="35"/>
  <c r="AG30" i="35"/>
  <c r="AF30" i="35"/>
  <c r="AE30" i="35"/>
  <c r="AD30" i="35"/>
  <c r="AC30" i="35"/>
  <c r="AB30" i="35"/>
  <c r="AA30" i="35"/>
  <c r="Z30" i="35"/>
  <c r="Y30" i="35"/>
  <c r="X30" i="35"/>
  <c r="W30" i="35"/>
  <c r="V30" i="35"/>
  <c r="U30" i="35"/>
  <c r="T30" i="35"/>
  <c r="S30" i="35"/>
  <c r="R30" i="35"/>
  <c r="Q30" i="35"/>
  <c r="P30" i="35"/>
  <c r="O30" i="35"/>
  <c r="N30" i="35"/>
  <c r="M30" i="35"/>
  <c r="L30" i="35"/>
  <c r="K30" i="35"/>
  <c r="J30" i="35"/>
  <c r="I30" i="35"/>
  <c r="H30" i="35"/>
  <c r="G30" i="35"/>
  <c r="F30" i="35"/>
  <c r="D30" i="35"/>
  <c r="C30" i="35"/>
  <c r="B30" i="35"/>
  <c r="AI28" i="35"/>
  <c r="AH28" i="35"/>
  <c r="AH21" i="35" s="1"/>
  <c r="AG28" i="35"/>
  <c r="AF28" i="35"/>
  <c r="AE28" i="35"/>
  <c r="AD28" i="35"/>
  <c r="AC28" i="35"/>
  <c r="AB28" i="35"/>
  <c r="AA28" i="35"/>
  <c r="Z28" i="35"/>
  <c r="Z21" i="35" s="1"/>
  <c r="Y28" i="35"/>
  <c r="X28" i="35"/>
  <c r="W28" i="35"/>
  <c r="V28" i="35"/>
  <c r="U28" i="35"/>
  <c r="T28" i="35"/>
  <c r="S28" i="35"/>
  <c r="R28" i="35"/>
  <c r="Q28" i="35"/>
  <c r="P28" i="35"/>
  <c r="O28" i="35"/>
  <c r="N28" i="35"/>
  <c r="M28" i="35"/>
  <c r="L28" i="35"/>
  <c r="K28" i="35"/>
  <c r="J28" i="35"/>
  <c r="I28" i="35"/>
  <c r="H28" i="35"/>
  <c r="G28" i="35"/>
  <c r="F28" i="35"/>
  <c r="E28" i="35"/>
  <c r="D28" i="35"/>
  <c r="C28" i="35"/>
  <c r="B28" i="35"/>
  <c r="AI25" i="35"/>
  <c r="AH25" i="35"/>
  <c r="AG25" i="35"/>
  <c r="AF25" i="35"/>
  <c r="AE25" i="35"/>
  <c r="AD25" i="35"/>
  <c r="AC25" i="35"/>
  <c r="AB25" i="35"/>
  <c r="AA25" i="35"/>
  <c r="Z25" i="35"/>
  <c r="Y25" i="35"/>
  <c r="X25" i="35"/>
  <c r="W25" i="35"/>
  <c r="V25" i="35"/>
  <c r="U25" i="35"/>
  <c r="T25" i="35"/>
  <c r="S25" i="35"/>
  <c r="R25" i="35"/>
  <c r="Q25" i="35"/>
  <c r="P25" i="35"/>
  <c r="O25" i="35"/>
  <c r="N25" i="35"/>
  <c r="M25" i="35"/>
  <c r="L25" i="35"/>
  <c r="K25" i="35"/>
  <c r="J25" i="35"/>
  <c r="I25" i="35"/>
  <c r="H25" i="35"/>
  <c r="G25" i="35"/>
  <c r="F25" i="35"/>
  <c r="E25" i="35"/>
  <c r="D25" i="35"/>
  <c r="C25" i="35"/>
  <c r="B25" i="35"/>
  <c r="AI22" i="35"/>
  <c r="AH22" i="35"/>
  <c r="AG22" i="35"/>
  <c r="AF22" i="35"/>
  <c r="AE22" i="35"/>
  <c r="AE21" i="35" s="1"/>
  <c r="AD22" i="35"/>
  <c r="AD21" i="35" s="1"/>
  <c r="AC22" i="35"/>
  <c r="AB22" i="35"/>
  <c r="AA22" i="35"/>
  <c r="Z22" i="35"/>
  <c r="Y22" i="35"/>
  <c r="X22" i="35"/>
  <c r="W22" i="35"/>
  <c r="W21" i="35" s="1"/>
  <c r="V22" i="35"/>
  <c r="U22" i="35"/>
  <c r="T22" i="35"/>
  <c r="S22" i="35"/>
  <c r="R22" i="35"/>
  <c r="R21" i="35" s="1"/>
  <c r="Q22" i="35"/>
  <c r="P22" i="35"/>
  <c r="O22" i="35"/>
  <c r="N22" i="35"/>
  <c r="M22" i="35"/>
  <c r="L22" i="35"/>
  <c r="K22" i="35"/>
  <c r="J22" i="35"/>
  <c r="I22" i="35"/>
  <c r="H22" i="35"/>
  <c r="G22" i="35"/>
  <c r="F22" i="35"/>
  <c r="E22" i="35"/>
  <c r="D22" i="35"/>
  <c r="C22" i="35"/>
  <c r="B22" i="35"/>
  <c r="V21" i="35"/>
  <c r="AI19" i="35"/>
  <c r="AH19" i="35"/>
  <c r="AG19" i="35"/>
  <c r="AF19" i="35"/>
  <c r="AE19" i="35"/>
  <c r="AD19" i="35"/>
  <c r="AC19" i="35"/>
  <c r="AB19" i="35"/>
  <c r="AA19" i="35"/>
  <c r="Z19" i="35"/>
  <c r="Y19" i="35"/>
  <c r="X19" i="35"/>
  <c r="W19" i="35"/>
  <c r="V19" i="35"/>
  <c r="U19" i="35"/>
  <c r="T19" i="35"/>
  <c r="S19" i="35"/>
  <c r="R19" i="35"/>
  <c r="Q19" i="35"/>
  <c r="P19" i="35"/>
  <c r="O19" i="35"/>
  <c r="N19" i="35"/>
  <c r="M19" i="35"/>
  <c r="L19" i="35"/>
  <c r="K19" i="35"/>
  <c r="J19" i="35"/>
  <c r="I19" i="35"/>
  <c r="H19" i="35"/>
  <c r="G19" i="35"/>
  <c r="F19" i="35"/>
  <c r="E19" i="35"/>
  <c r="D19" i="35"/>
  <c r="C19" i="35"/>
  <c r="B19" i="35"/>
  <c r="AI15" i="35"/>
  <c r="AH15" i="35"/>
  <c r="AG15" i="35"/>
  <c r="AF15" i="35"/>
  <c r="AE15" i="35"/>
  <c r="AD15" i="35"/>
  <c r="AC15" i="35"/>
  <c r="AB15" i="35"/>
  <c r="AA15" i="35"/>
  <c r="Z15" i="35"/>
  <c r="Y15" i="35"/>
  <c r="X15" i="35"/>
  <c r="W15" i="35"/>
  <c r="W5" i="35" s="1"/>
  <c r="V15" i="35"/>
  <c r="U15" i="35"/>
  <c r="T15" i="35"/>
  <c r="S15" i="35"/>
  <c r="R15" i="35"/>
  <c r="Q15" i="35"/>
  <c r="P15" i="35"/>
  <c r="O15" i="35"/>
  <c r="N15" i="35"/>
  <c r="M15" i="35"/>
  <c r="L15" i="35"/>
  <c r="K15" i="35"/>
  <c r="J15" i="35"/>
  <c r="I15" i="35"/>
  <c r="H15" i="35"/>
  <c r="E15" i="35"/>
  <c r="D15" i="35"/>
  <c r="C15" i="35"/>
  <c r="B15" i="35"/>
  <c r="E13" i="35"/>
  <c r="AI13" i="35"/>
  <c r="AH13" i="35"/>
  <c r="AG13" i="35"/>
  <c r="AF13" i="35"/>
  <c r="AE13" i="35"/>
  <c r="AD13" i="35"/>
  <c r="AC13" i="35"/>
  <c r="AB13" i="35"/>
  <c r="AA13" i="35"/>
  <c r="Z13" i="35"/>
  <c r="Y13" i="35"/>
  <c r="X13" i="35"/>
  <c r="W13" i="35"/>
  <c r="V13" i="35"/>
  <c r="U13" i="35"/>
  <c r="T13" i="35"/>
  <c r="S13" i="35"/>
  <c r="R13" i="35"/>
  <c r="Q13" i="35"/>
  <c r="P13" i="35"/>
  <c r="O13" i="35"/>
  <c r="N13" i="35"/>
  <c r="M13" i="35"/>
  <c r="L13" i="35"/>
  <c r="K13" i="35"/>
  <c r="J13" i="35"/>
  <c r="I13" i="35"/>
  <c r="H13" i="35"/>
  <c r="G13" i="35"/>
  <c r="F13" i="35"/>
  <c r="D13" i="35"/>
  <c r="C13" i="35"/>
  <c r="B13" i="35"/>
  <c r="B11" i="35"/>
  <c r="AI11" i="35"/>
  <c r="AH11" i="35"/>
  <c r="AG11" i="35"/>
  <c r="AF11" i="35"/>
  <c r="AE11" i="35"/>
  <c r="AD11" i="35"/>
  <c r="AC11" i="35"/>
  <c r="AB11" i="35"/>
  <c r="AA11" i="35"/>
  <c r="Z11" i="35"/>
  <c r="Y11" i="35"/>
  <c r="X11" i="35"/>
  <c r="W11" i="35"/>
  <c r="V11" i="35"/>
  <c r="U11" i="35"/>
  <c r="T11" i="35"/>
  <c r="S11" i="35"/>
  <c r="R11" i="35"/>
  <c r="Q11" i="35"/>
  <c r="P11" i="35"/>
  <c r="O11" i="35"/>
  <c r="N11" i="35"/>
  <c r="M11" i="35"/>
  <c r="L11" i="35"/>
  <c r="K11" i="35"/>
  <c r="J11" i="35"/>
  <c r="I11" i="35"/>
  <c r="H11" i="35"/>
  <c r="G11" i="35"/>
  <c r="F11" i="35"/>
  <c r="E11" i="35"/>
  <c r="D11" i="35"/>
  <c r="C11" i="35"/>
  <c r="AI9" i="35"/>
  <c r="AH9" i="35"/>
  <c r="AG9" i="35"/>
  <c r="AF9" i="35"/>
  <c r="AE9" i="35"/>
  <c r="AB9" i="35"/>
  <c r="AA9" i="35"/>
  <c r="Z9" i="35"/>
  <c r="Y9" i="35"/>
  <c r="X9" i="35"/>
  <c r="W9" i="35"/>
  <c r="V9" i="35"/>
  <c r="U9" i="35"/>
  <c r="T9" i="35"/>
  <c r="S9" i="35"/>
  <c r="R9" i="35"/>
  <c r="Q9" i="35"/>
  <c r="P9" i="35"/>
  <c r="O9" i="35"/>
  <c r="N9" i="35"/>
  <c r="M9" i="35"/>
  <c r="L9" i="35"/>
  <c r="K9" i="35"/>
  <c r="J9" i="35"/>
  <c r="I9" i="35"/>
  <c r="H9" i="35"/>
  <c r="G9" i="35"/>
  <c r="F9" i="35"/>
  <c r="E9" i="35"/>
  <c r="D9" i="35"/>
  <c r="C9" i="35"/>
  <c r="B9" i="35"/>
  <c r="AC9" i="35" s="1"/>
  <c r="AI6" i="35"/>
  <c r="AI5" i="35" s="1"/>
  <c r="AH6" i="35"/>
  <c r="AG6" i="35"/>
  <c r="AF6" i="35"/>
  <c r="AE6" i="35"/>
  <c r="AE5" i="35" s="1"/>
  <c r="AD6" i="35"/>
  <c r="AC6" i="35"/>
  <c r="AB6" i="35"/>
  <c r="AB5" i="35" s="1"/>
  <c r="AA6" i="35"/>
  <c r="AA5" i="35" s="1"/>
  <c r="Z6" i="35"/>
  <c r="Y6" i="35"/>
  <c r="X6" i="35"/>
  <c r="W6" i="35"/>
  <c r="V6" i="35"/>
  <c r="U6" i="35"/>
  <c r="T6" i="35"/>
  <c r="T5" i="35" s="1"/>
  <c r="S6" i="35"/>
  <c r="R6" i="35"/>
  <c r="Q6" i="35"/>
  <c r="P6" i="35"/>
  <c r="O6" i="35"/>
  <c r="N6" i="35"/>
  <c r="M6" i="35"/>
  <c r="L6" i="35"/>
  <c r="K6" i="35"/>
  <c r="J6" i="35"/>
  <c r="I6" i="35"/>
  <c r="H6" i="35"/>
  <c r="G6" i="35"/>
  <c r="F6" i="35"/>
  <c r="E6" i="35"/>
  <c r="D6" i="35"/>
  <c r="C6" i="35"/>
  <c r="B6" i="35"/>
  <c r="V26" i="36" l="1"/>
  <c r="Z23" i="36"/>
  <c r="AS11" i="36"/>
  <c r="AS31" i="36"/>
  <c r="AD5" i="35"/>
  <c r="S5" i="35"/>
  <c r="X5" i="35"/>
  <c r="S21" i="35"/>
  <c r="AA21" i="35"/>
  <c r="AA4" i="35" s="1"/>
  <c r="AI21" i="35"/>
  <c r="B35" i="35"/>
  <c r="AF5" i="35"/>
  <c r="P5" i="35"/>
  <c r="J5" i="40"/>
  <c r="K5" i="40"/>
  <c r="K3" i="40" s="1"/>
  <c r="I32" i="40"/>
  <c r="F5" i="40"/>
  <c r="G22" i="40"/>
  <c r="Z7" i="36"/>
  <c r="H21" i="40"/>
  <c r="BG50" i="36"/>
  <c r="BF40" i="36"/>
  <c r="BF33" i="36" s="1"/>
  <c r="BG6" i="36"/>
  <c r="BF7" i="36"/>
  <c r="BG7" i="36" s="1"/>
  <c r="BG13" i="36"/>
  <c r="C32" i="40"/>
  <c r="C3" i="40" s="1"/>
  <c r="N33" i="40"/>
  <c r="N6" i="40"/>
  <c r="C40" i="32"/>
  <c r="C33" i="32" s="1"/>
  <c r="B19" i="32"/>
  <c r="C19" i="32"/>
  <c r="E19" i="32"/>
  <c r="J32" i="40"/>
  <c r="B40" i="32"/>
  <c r="B33" i="32" s="1"/>
  <c r="D33" i="32"/>
  <c r="E2" i="32"/>
  <c r="D19" i="32"/>
  <c r="B3" i="32"/>
  <c r="C3" i="32"/>
  <c r="D3" i="32"/>
  <c r="O5" i="35"/>
  <c r="L5" i="35"/>
  <c r="N21" i="35"/>
  <c r="O21" i="35"/>
  <c r="O35" i="35"/>
  <c r="K21" i="35"/>
  <c r="K5" i="35"/>
  <c r="J21" i="35"/>
  <c r="H5" i="35"/>
  <c r="G21" i="35"/>
  <c r="E21" i="35"/>
  <c r="D35" i="35"/>
  <c r="D21" i="35"/>
  <c r="D5" i="35"/>
  <c r="C21" i="35"/>
  <c r="P39" i="40"/>
  <c r="O39" i="40"/>
  <c r="P32" i="40"/>
  <c r="O32" i="40"/>
  <c r="P5" i="40"/>
  <c r="B32" i="40"/>
  <c r="B3" i="40" s="1"/>
  <c r="BJ50" i="36"/>
  <c r="F5" i="35"/>
  <c r="BI50" i="36"/>
  <c r="H33" i="40"/>
  <c r="G33" i="40"/>
  <c r="N27" i="40"/>
  <c r="L32" i="40"/>
  <c r="L3" i="40" s="1"/>
  <c r="N15" i="40"/>
  <c r="G15" i="40"/>
  <c r="H15" i="40"/>
  <c r="F32" i="40"/>
  <c r="N39" i="40"/>
  <c r="J5" i="35"/>
  <c r="N5" i="35"/>
  <c r="R5" i="35"/>
  <c r="V5" i="35"/>
  <c r="Z5" i="35"/>
  <c r="AH5" i="35"/>
  <c r="I21" i="35"/>
  <c r="M21" i="35"/>
  <c r="Q21" i="35"/>
  <c r="U21" i="35"/>
  <c r="Y21" i="35"/>
  <c r="AC21" i="35"/>
  <c r="AG21" i="35"/>
  <c r="E35" i="35"/>
  <c r="W35" i="35"/>
  <c r="AI35" i="35"/>
  <c r="V43" i="35"/>
  <c r="I5" i="35"/>
  <c r="M5" i="35"/>
  <c r="Q5" i="35"/>
  <c r="U5" i="35"/>
  <c r="Y5" i="35"/>
  <c r="AC5" i="35"/>
  <c r="AG5" i="35"/>
  <c r="C5" i="35"/>
  <c r="G5" i="35"/>
  <c r="H21" i="35"/>
  <c r="L21" i="35"/>
  <c r="P21" i="35"/>
  <c r="P4" i="35" s="1"/>
  <c r="T21" i="35"/>
  <c r="X21" i="35"/>
  <c r="AB21" i="35"/>
  <c r="AF21" i="35"/>
  <c r="B21" i="35"/>
  <c r="F21" i="35"/>
  <c r="L35" i="35"/>
  <c r="P35" i="35"/>
  <c r="T35" i="35"/>
  <c r="X43" i="35"/>
  <c r="X35" i="35" s="1"/>
  <c r="AB35" i="35"/>
  <c r="AF35" i="35"/>
  <c r="B5" i="35"/>
  <c r="E5" i="35"/>
  <c r="H35" i="35"/>
  <c r="S35" i="35"/>
  <c r="S4" i="35" s="1"/>
  <c r="U43" i="35"/>
  <c r="U35" i="35" s="1"/>
  <c r="W28" i="36"/>
  <c r="V28" i="36" s="1"/>
  <c r="Z40" i="36"/>
  <c r="Z33" i="36" s="1"/>
  <c r="L8" i="36"/>
  <c r="K8" i="36" s="1"/>
  <c r="Z5" i="36"/>
  <c r="W17" i="36"/>
  <c r="V17" i="36" s="1"/>
  <c r="Y40" i="36"/>
  <c r="Y33" i="36" s="1"/>
  <c r="X8" i="36"/>
  <c r="AR17" i="36"/>
  <c r="AR13" i="36"/>
  <c r="AR15" i="36"/>
  <c r="L17" i="36"/>
  <c r="K17" i="36" s="1"/>
  <c r="L13" i="36"/>
  <c r="K13" i="36" s="1"/>
  <c r="AR40" i="36"/>
  <c r="AR21" i="36"/>
  <c r="AR26" i="36"/>
  <c r="AR28" i="36"/>
  <c r="I35" i="35"/>
  <c r="M35" i="35"/>
  <c r="Q35" i="35"/>
  <c r="Y35" i="35"/>
  <c r="AC35" i="35"/>
  <c r="AG35" i="35"/>
  <c r="R35" i="35"/>
  <c r="R4" i="35" s="1"/>
  <c r="AH35" i="35"/>
  <c r="N35" i="35"/>
  <c r="AD35" i="35"/>
  <c r="J35" i="35"/>
  <c r="Z35" i="35"/>
  <c r="Z4" i="35" s="1"/>
  <c r="C35" i="35"/>
  <c r="G35" i="35"/>
  <c r="V35" i="35"/>
  <c r="AE4" i="35"/>
  <c r="AB4" i="35"/>
  <c r="AF4" i="35"/>
  <c r="AG4" i="35"/>
  <c r="AI4" i="35"/>
  <c r="AR23" i="36" l="1"/>
  <c r="W23" i="36"/>
  <c r="V23" i="36" s="1"/>
  <c r="AS21" i="36"/>
  <c r="AS28" i="36"/>
  <c r="AS26" i="36"/>
  <c r="AS15" i="36"/>
  <c r="AS13" i="36"/>
  <c r="AS17" i="36"/>
  <c r="AS5" i="36"/>
  <c r="AR33" i="36"/>
  <c r="AS40" i="36"/>
  <c r="AH4" i="35"/>
  <c r="Q4" i="35"/>
  <c r="Y4" i="35"/>
  <c r="AD4" i="35"/>
  <c r="G21" i="40"/>
  <c r="J3" i="40"/>
  <c r="I3" i="40"/>
  <c r="F3" i="40"/>
  <c r="N32" i="40"/>
  <c r="N5" i="40"/>
  <c r="BI10" i="36"/>
  <c r="BH10" i="36"/>
  <c r="BI9" i="36"/>
  <c r="BH9" i="36"/>
  <c r="BG40" i="36"/>
  <c r="BG33" i="36"/>
  <c r="AR7" i="36"/>
  <c r="Z4" i="36"/>
  <c r="Y4" i="36"/>
  <c r="C2" i="32"/>
  <c r="W15" i="36"/>
  <c r="V15" i="36" s="1"/>
  <c r="B2" i="32"/>
  <c r="D2" i="32"/>
  <c r="N4" i="35"/>
  <c r="O4" i="35"/>
  <c r="M4" i="35"/>
  <c r="L4" i="35"/>
  <c r="K4" i="35"/>
  <c r="J4" i="35"/>
  <c r="G4" i="35"/>
  <c r="E4" i="35"/>
  <c r="D4" i="35"/>
  <c r="C4" i="35"/>
  <c r="B4" i="35"/>
  <c r="AJ4" i="35" s="1"/>
  <c r="P3" i="40"/>
  <c r="X17" i="36"/>
  <c r="F4" i="35"/>
  <c r="I4" i="35"/>
  <c r="L15" i="36"/>
  <c r="K15" i="36" s="1"/>
  <c r="BD11" i="36"/>
  <c r="BC11" i="36" s="1"/>
  <c r="X11" i="36"/>
  <c r="BD13" i="36"/>
  <c r="BC13" i="36" s="1"/>
  <c r="X31" i="36"/>
  <c r="BD31" i="36"/>
  <c r="BC31" i="36" s="1"/>
  <c r="BD28" i="36"/>
  <c r="BD21" i="36"/>
  <c r="BC21" i="36" s="1"/>
  <c r="H4" i="35"/>
  <c r="H39" i="40"/>
  <c r="G39" i="40"/>
  <c r="X28" i="36"/>
  <c r="BD17" i="36"/>
  <c r="BC17" i="36" s="1"/>
  <c r="X21" i="36"/>
  <c r="L24" i="36"/>
  <c r="W40" i="36"/>
  <c r="V40" i="36" s="1"/>
  <c r="W5" i="36"/>
  <c r="V5" i="36" s="1"/>
  <c r="BD40" i="36"/>
  <c r="BC40" i="36" s="1"/>
  <c r="X13" i="36"/>
  <c r="BC28" i="36" l="1"/>
  <c r="BJ28" i="36"/>
  <c r="AS23" i="36"/>
  <c r="K24" i="36"/>
  <c r="L23" i="36"/>
  <c r="N3" i="40"/>
  <c r="L7" i="36"/>
  <c r="W7" i="36"/>
  <c r="V7" i="36" s="1"/>
  <c r="W33" i="36"/>
  <c r="V33" i="36" s="1"/>
  <c r="AS33" i="36"/>
  <c r="AR4" i="36"/>
  <c r="AS7" i="36"/>
  <c r="BI8" i="36"/>
  <c r="BH8" i="36"/>
  <c r="BD33" i="36"/>
  <c r="BC33" i="36" s="1"/>
  <c r="BF4" i="36"/>
  <c r="BK21" i="36"/>
  <c r="BI21" i="36"/>
  <c r="BI17" i="36"/>
  <c r="BH17" i="36"/>
  <c r="BK17" i="36"/>
  <c r="BJ17" i="36"/>
  <c r="BI13" i="36"/>
  <c r="BH13" i="36"/>
  <c r="BK13" i="36"/>
  <c r="BJ13" i="36"/>
  <c r="BI11" i="36"/>
  <c r="BH11" i="36"/>
  <c r="BK11" i="36"/>
  <c r="BJ11" i="36"/>
  <c r="BI6" i="36"/>
  <c r="AM4" i="35"/>
  <c r="AC4" i="35"/>
  <c r="BD15" i="36"/>
  <c r="BH28" i="36"/>
  <c r="BJ24" i="36"/>
  <c r="BK24" i="36"/>
  <c r="BK40" i="36"/>
  <c r="BJ40" i="36"/>
  <c r="BK34" i="36"/>
  <c r="BJ34" i="36"/>
  <c r="BD26" i="36"/>
  <c r="BD23" i="36" s="1"/>
  <c r="H32" i="40"/>
  <c r="G32" i="40"/>
  <c r="X5" i="36"/>
  <c r="X15" i="36"/>
  <c r="X26" i="36"/>
  <c r="X23" i="36" s="1"/>
  <c r="X40" i="36"/>
  <c r="X33" i="36" s="1"/>
  <c r="BH5" i="36" l="1"/>
  <c r="BH23" i="36"/>
  <c r="BI23" i="36"/>
  <c r="X7" i="36"/>
  <c r="BH7" i="36" s="1"/>
  <c r="BJ23" i="36"/>
  <c r="BK23" i="36"/>
  <c r="BC15" i="36"/>
  <c r="BJ5" i="36"/>
  <c r="K7" i="36"/>
  <c r="L4" i="36"/>
  <c r="BC26" i="36"/>
  <c r="BC23" i="36"/>
  <c r="BK33" i="36"/>
  <c r="BD7" i="36"/>
  <c r="AS4" i="36"/>
  <c r="W4" i="36"/>
  <c r="V4" i="36" s="1"/>
  <c r="BI15" i="36"/>
  <c r="BK15" i="36"/>
  <c r="BI7" i="36"/>
  <c r="X4" i="36"/>
  <c r="BJ6" i="36"/>
  <c r="BK6" i="36"/>
  <c r="BK5" i="36"/>
  <c r="BI5" i="36"/>
  <c r="BH40" i="36"/>
  <c r="BI40" i="36"/>
  <c r="BH24" i="36"/>
  <c r="BI24" i="36"/>
  <c r="BJ33" i="36"/>
  <c r="BH34" i="36"/>
  <c r="BI34" i="36"/>
  <c r="BK26" i="36"/>
  <c r="BJ26" i="36"/>
  <c r="BH26" i="36"/>
  <c r="BI26" i="36"/>
  <c r="BI4" i="36" l="1"/>
  <c r="BH4" i="36"/>
  <c r="BC7" i="36"/>
  <c r="BJ7" i="36"/>
  <c r="BK7" i="36"/>
  <c r="BD4" i="36"/>
  <c r="BH33" i="36"/>
  <c r="BI33" i="36"/>
  <c r="BC4" i="36" l="1"/>
  <c r="BJ4" i="36"/>
  <c r="BK4" i="36"/>
  <c r="I21" i="33"/>
  <c r="AK45" i="31" l="1"/>
  <c r="AL45" i="31"/>
  <c r="AM45" i="31"/>
  <c r="AQ45" i="31"/>
  <c r="AR45" i="31"/>
  <c r="AS45" i="31"/>
  <c r="AT45" i="31"/>
  <c r="AU45" i="31"/>
  <c r="AV45" i="31"/>
  <c r="AW45" i="31"/>
  <c r="AO18" i="31"/>
  <c r="AO45" i="31" s="1"/>
  <c r="Y18" i="31"/>
  <c r="Y45" i="31" s="1"/>
  <c r="P18" i="31"/>
  <c r="P45" i="31" s="1"/>
  <c r="O18" i="31"/>
  <c r="O45" i="31" s="1"/>
  <c r="N18" i="31"/>
  <c r="N45" i="31" s="1"/>
  <c r="L18" i="31"/>
  <c r="L45" i="31" s="1"/>
  <c r="J18" i="31"/>
  <c r="E31" i="31"/>
  <c r="F31" i="31"/>
  <c r="H31" i="31"/>
  <c r="J31" i="31"/>
  <c r="L31" i="31"/>
  <c r="N31" i="31"/>
  <c r="O31" i="31"/>
  <c r="O44" i="31" s="1"/>
  <c r="P31" i="31"/>
  <c r="R31" i="31"/>
  <c r="U31" i="31"/>
  <c r="V31" i="31"/>
  <c r="X31" i="31"/>
  <c r="Y31" i="31"/>
  <c r="Y44" i="31" s="1"/>
  <c r="AA31" i="31"/>
  <c r="AC31" i="31"/>
  <c r="AD31" i="31"/>
  <c r="AF31" i="31"/>
  <c r="AI31" i="31"/>
  <c r="AK31" i="31"/>
  <c r="AK44" i="31" s="1"/>
  <c r="AL31" i="31"/>
  <c r="AL44" i="31" s="1"/>
  <c r="AM31" i="31"/>
  <c r="AM44" i="31" s="1"/>
  <c r="AO31" i="31"/>
  <c r="AQ31" i="31"/>
  <c r="AQ44" i="31" s="1"/>
  <c r="AR31" i="31"/>
  <c r="AR44" i="31" s="1"/>
  <c r="AS31" i="31"/>
  <c r="AS44" i="31" s="1"/>
  <c r="AT31" i="31"/>
  <c r="AT44" i="31" s="1"/>
  <c r="AU31" i="31"/>
  <c r="AU44" i="31" s="1"/>
  <c r="AV31" i="31"/>
  <c r="AV44" i="31" s="1"/>
  <c r="AW31" i="31"/>
  <c r="AW44" i="31" s="1"/>
  <c r="AX30" i="31"/>
  <c r="AP30" i="31"/>
  <c r="AJ30" i="31"/>
  <c r="AH30" i="31" s="1"/>
  <c r="AE30" i="31"/>
  <c r="AB30" i="31"/>
  <c r="Z30" i="31"/>
  <c r="W30" i="31"/>
  <c r="T30" i="31"/>
  <c r="Q30" i="31"/>
  <c r="M30" i="31"/>
  <c r="K30" i="31"/>
  <c r="I30" i="31"/>
  <c r="G30" i="31"/>
  <c r="D30" i="31"/>
  <c r="AP29" i="31"/>
  <c r="AN29" i="31" s="1"/>
  <c r="AJ29" i="31"/>
  <c r="AH29" i="31" s="1"/>
  <c r="AE29" i="31"/>
  <c r="AB29" i="31"/>
  <c r="Z29" i="31"/>
  <c r="W29" i="31"/>
  <c r="T29" i="31"/>
  <c r="Q29" i="31"/>
  <c r="M29" i="31"/>
  <c r="K29" i="31"/>
  <c r="I29" i="31"/>
  <c r="G29" i="31"/>
  <c r="D29" i="31"/>
  <c r="AP28" i="31"/>
  <c r="AJ28" i="31"/>
  <c r="AH28" i="31" s="1"/>
  <c r="AE28" i="31"/>
  <c r="AB28" i="31"/>
  <c r="Z28" i="31"/>
  <c r="T28" i="31"/>
  <c r="Q28" i="31"/>
  <c r="M28" i="31"/>
  <c r="K28" i="31"/>
  <c r="I28" i="31"/>
  <c r="G28" i="31"/>
  <c r="D28" i="31"/>
  <c r="AP27" i="31"/>
  <c r="AN27" i="31" s="1"/>
  <c r="AJ27" i="31"/>
  <c r="AH27" i="31" s="1"/>
  <c r="AE27" i="31"/>
  <c r="AB27" i="31"/>
  <c r="Z27" i="31"/>
  <c r="W27" i="31"/>
  <c r="Q27" i="31"/>
  <c r="M27" i="31"/>
  <c r="K27" i="31"/>
  <c r="I27" i="31"/>
  <c r="G27" i="31"/>
  <c r="D27" i="31"/>
  <c r="AP26" i="31"/>
  <c r="AN26" i="31" s="1"/>
  <c r="AJ26" i="31"/>
  <c r="AH26" i="31" s="1"/>
  <c r="AE26" i="31"/>
  <c r="AB26" i="31"/>
  <c r="Z26" i="31"/>
  <c r="W26" i="31"/>
  <c r="T26" i="31"/>
  <c r="Q26" i="31"/>
  <c r="M26" i="31"/>
  <c r="K26" i="31"/>
  <c r="I26" i="31"/>
  <c r="G26" i="31"/>
  <c r="D26" i="31"/>
  <c r="AP25" i="31"/>
  <c r="AN25" i="31" s="1"/>
  <c r="AJ25" i="31"/>
  <c r="AH25" i="31" s="1"/>
  <c r="AE25" i="31"/>
  <c r="AB25" i="31"/>
  <c r="Z25" i="31"/>
  <c r="W25" i="31"/>
  <c r="T25" i="31"/>
  <c r="Q25" i="31"/>
  <c r="M25" i="31"/>
  <c r="K25" i="31"/>
  <c r="I25" i="31"/>
  <c r="G25" i="31"/>
  <c r="D25" i="31"/>
  <c r="AP24" i="31"/>
  <c r="AN24" i="31" s="1"/>
  <c r="AJ24" i="31"/>
  <c r="AH24" i="31" s="1"/>
  <c r="AE24" i="31"/>
  <c r="AB24" i="31"/>
  <c r="Z24" i="31"/>
  <c r="W24" i="31"/>
  <c r="Q24" i="31"/>
  <c r="M24" i="31"/>
  <c r="K24" i="31"/>
  <c r="I24" i="31"/>
  <c r="G24" i="31"/>
  <c r="D24" i="31"/>
  <c r="AP23" i="31"/>
  <c r="AN23" i="31" s="1"/>
  <c r="AJ23" i="31"/>
  <c r="AH23" i="31" s="1"/>
  <c r="AE23" i="31"/>
  <c r="AB23" i="31"/>
  <c r="Z23" i="31"/>
  <c r="W23" i="31"/>
  <c r="T23" i="31"/>
  <c r="Q23" i="31"/>
  <c r="M23" i="31"/>
  <c r="K23" i="31"/>
  <c r="I23" i="31"/>
  <c r="G23" i="31"/>
  <c r="D23" i="31"/>
  <c r="AP22" i="31"/>
  <c r="AN22" i="31" s="1"/>
  <c r="AJ22" i="31"/>
  <c r="AH22" i="31" s="1"/>
  <c r="AE22" i="31"/>
  <c r="AB22" i="31"/>
  <c r="Z22" i="31"/>
  <c r="W22" i="31"/>
  <c r="Q22" i="31"/>
  <c r="M22" i="31"/>
  <c r="K22" i="31"/>
  <c r="I22" i="31"/>
  <c r="G22" i="31"/>
  <c r="D22" i="31"/>
  <c r="AP21" i="31"/>
  <c r="AN21" i="31" s="1"/>
  <c r="AJ21" i="31"/>
  <c r="AE21" i="31"/>
  <c r="AB21" i="31"/>
  <c r="Z21" i="31"/>
  <c r="W21" i="31"/>
  <c r="T21" i="31"/>
  <c r="Q21" i="31"/>
  <c r="M21" i="31"/>
  <c r="K21" i="31"/>
  <c r="I21" i="31"/>
  <c r="G21" i="31"/>
  <c r="D21" i="31"/>
  <c r="AP20" i="31"/>
  <c r="AN20" i="31" s="1"/>
  <c r="AJ20" i="31"/>
  <c r="AH20" i="31" s="1"/>
  <c r="AE20" i="31"/>
  <c r="AB20" i="31"/>
  <c r="Z20" i="31"/>
  <c r="W20" i="31"/>
  <c r="T20" i="31"/>
  <c r="Q20" i="31"/>
  <c r="K20" i="31"/>
  <c r="I20" i="31"/>
  <c r="G20" i="31"/>
  <c r="AP19" i="31"/>
  <c r="AN19" i="31" s="1"/>
  <c r="AJ19" i="31"/>
  <c r="AI18" i="31"/>
  <c r="AI45" i="31" s="1"/>
  <c r="AD18" i="31"/>
  <c r="AD45" i="31" s="1"/>
  <c r="AC18" i="31"/>
  <c r="AC45" i="31" s="1"/>
  <c r="Z19" i="31"/>
  <c r="Z18" i="31" s="1"/>
  <c r="W19" i="31"/>
  <c r="V18" i="31"/>
  <c r="V45" i="31" s="1"/>
  <c r="U18" i="31"/>
  <c r="U45" i="31" s="1"/>
  <c r="Q19" i="31"/>
  <c r="M19" i="31"/>
  <c r="K19" i="31"/>
  <c r="K18" i="31" s="1"/>
  <c r="I19" i="31"/>
  <c r="I18" i="31" s="1"/>
  <c r="F18" i="31"/>
  <c r="F45" i="31" s="1"/>
  <c r="E18" i="31"/>
  <c r="E45" i="31" s="1"/>
  <c r="AX56" i="31"/>
  <c r="AP56" i="31"/>
  <c r="AJ56" i="31"/>
  <c r="AH56" i="31" s="1"/>
  <c r="AE56" i="31"/>
  <c r="AB56" i="31"/>
  <c r="Z56" i="31"/>
  <c r="W56" i="31"/>
  <c r="T56" i="31"/>
  <c r="Q56" i="31"/>
  <c r="M56" i="31"/>
  <c r="K56" i="31"/>
  <c r="I56" i="31"/>
  <c r="G56" i="31"/>
  <c r="D56" i="31"/>
  <c r="AX55" i="31"/>
  <c r="AP55" i="31"/>
  <c r="AJ55" i="31"/>
  <c r="AH55" i="31" s="1"/>
  <c r="AE55" i="31"/>
  <c r="AB55" i="31"/>
  <c r="Z55" i="31"/>
  <c r="W55" i="31"/>
  <c r="T55" i="31"/>
  <c r="Q55" i="31"/>
  <c r="M55" i="31"/>
  <c r="K55" i="31"/>
  <c r="I55" i="31"/>
  <c r="G55" i="31"/>
  <c r="D55" i="31"/>
  <c r="AX54" i="31"/>
  <c r="AP54" i="31"/>
  <c r="AJ54" i="31"/>
  <c r="AH54" i="31" s="1"/>
  <c r="AE54" i="31"/>
  <c r="Z54" i="31"/>
  <c r="W54" i="31"/>
  <c r="T54" i="31"/>
  <c r="Q54" i="31"/>
  <c r="M54" i="31"/>
  <c r="K54" i="31"/>
  <c r="I54" i="31"/>
  <c r="G54" i="31"/>
  <c r="D54" i="31"/>
  <c r="AX53" i="31"/>
  <c r="AP53" i="31"/>
  <c r="AJ53" i="31"/>
  <c r="AH53" i="31" s="1"/>
  <c r="AE53" i="31"/>
  <c r="AB53" i="31"/>
  <c r="Z53" i="31"/>
  <c r="W53" i="31"/>
  <c r="T53" i="31"/>
  <c r="Q53" i="31"/>
  <c r="M53" i="31"/>
  <c r="K53" i="31"/>
  <c r="I53" i="31"/>
  <c r="G53" i="31"/>
  <c r="D53" i="31"/>
  <c r="AX52" i="31"/>
  <c r="AP52" i="31"/>
  <c r="AJ52" i="31"/>
  <c r="AH52" i="31" s="1"/>
  <c r="AE52" i="31"/>
  <c r="AB52" i="31"/>
  <c r="Z52" i="31"/>
  <c r="W52" i="31"/>
  <c r="T52" i="31"/>
  <c r="Q52" i="31"/>
  <c r="M52" i="31"/>
  <c r="K52" i="31"/>
  <c r="I52" i="31"/>
  <c r="G52" i="31"/>
  <c r="D52" i="31"/>
  <c r="AX51" i="31"/>
  <c r="AP51" i="31"/>
  <c r="AJ51" i="31"/>
  <c r="AH51" i="31" s="1"/>
  <c r="AE51" i="31"/>
  <c r="AB51" i="31"/>
  <c r="Z51" i="31"/>
  <c r="W51" i="31"/>
  <c r="T51" i="31"/>
  <c r="Q51" i="31"/>
  <c r="M51" i="31"/>
  <c r="K51" i="31"/>
  <c r="I51" i="31"/>
  <c r="G51" i="31"/>
  <c r="D51" i="31"/>
  <c r="AX39" i="31"/>
  <c r="AP39" i="31"/>
  <c r="AJ39" i="31"/>
  <c r="AH39" i="31" s="1"/>
  <c r="AE39" i="31"/>
  <c r="AB39" i="31"/>
  <c r="Z39" i="31"/>
  <c r="W39" i="31"/>
  <c r="T39" i="31"/>
  <c r="Q39" i="31"/>
  <c r="M39" i="31"/>
  <c r="K39" i="31"/>
  <c r="I39" i="31"/>
  <c r="G39" i="31"/>
  <c r="AX38" i="31"/>
  <c r="AP38" i="31"/>
  <c r="AJ38" i="31"/>
  <c r="AH38" i="31" s="1"/>
  <c r="AE38" i="31"/>
  <c r="AB38" i="31"/>
  <c r="Z38" i="31"/>
  <c r="W38" i="31"/>
  <c r="T38" i="31"/>
  <c r="Q38" i="31"/>
  <c r="M38" i="31"/>
  <c r="K38" i="31"/>
  <c r="I38" i="31"/>
  <c r="G38" i="31"/>
  <c r="AX37" i="31"/>
  <c r="AP37" i="31"/>
  <c r="AJ37" i="31"/>
  <c r="AH37" i="31" s="1"/>
  <c r="AE37" i="31"/>
  <c r="AB37" i="31"/>
  <c r="Z37" i="31"/>
  <c r="W37" i="31"/>
  <c r="T37" i="31"/>
  <c r="Q37" i="31"/>
  <c r="M37" i="31"/>
  <c r="K37" i="31"/>
  <c r="I37" i="31"/>
  <c r="G37" i="31"/>
  <c r="AX36" i="31"/>
  <c r="AP36" i="31"/>
  <c r="AJ36" i="31"/>
  <c r="AH36" i="31" s="1"/>
  <c r="AE36" i="31"/>
  <c r="AB36" i="31"/>
  <c r="Z36" i="31"/>
  <c r="W36" i="31"/>
  <c r="T36" i="31"/>
  <c r="Q36" i="31"/>
  <c r="M36" i="31"/>
  <c r="K36" i="31"/>
  <c r="I36" i="31"/>
  <c r="G36" i="31"/>
  <c r="AY35" i="31"/>
  <c r="AP35" i="31"/>
  <c r="AJ35" i="31"/>
  <c r="AH35" i="31" s="1"/>
  <c r="AE35" i="31"/>
  <c r="AB35" i="31"/>
  <c r="Z35" i="31"/>
  <c r="W35" i="31"/>
  <c r="T35" i="31"/>
  <c r="Q35" i="31"/>
  <c r="M35" i="31"/>
  <c r="K35" i="31"/>
  <c r="I35" i="31"/>
  <c r="G35" i="31"/>
  <c r="D35" i="31"/>
  <c r="AY34" i="31"/>
  <c r="AP34" i="31"/>
  <c r="AJ34" i="31"/>
  <c r="AH34" i="31" s="1"/>
  <c r="AE34" i="31"/>
  <c r="AB34" i="31"/>
  <c r="Z34" i="31"/>
  <c r="W34" i="31"/>
  <c r="T34" i="31"/>
  <c r="Q34" i="31"/>
  <c r="M34" i="31"/>
  <c r="K34" i="31"/>
  <c r="I34" i="31"/>
  <c r="G34" i="31"/>
  <c r="D34" i="31"/>
  <c r="AP33" i="31"/>
  <c r="AJ33" i="31"/>
  <c r="AH33" i="31" s="1"/>
  <c r="AE33" i="31"/>
  <c r="AB33" i="31"/>
  <c r="Z33" i="31"/>
  <c r="W33" i="31"/>
  <c r="T33" i="31"/>
  <c r="Q33" i="31"/>
  <c r="M33" i="31"/>
  <c r="K33" i="31"/>
  <c r="I33" i="31"/>
  <c r="G33" i="31"/>
  <c r="D33" i="31"/>
  <c r="AY32" i="31"/>
  <c r="AP32" i="31"/>
  <c r="AJ32" i="31"/>
  <c r="AH32" i="31" s="1"/>
  <c r="AE32" i="31"/>
  <c r="AB32" i="31"/>
  <c r="Z32" i="31"/>
  <c r="W32" i="31"/>
  <c r="T32" i="31"/>
  <c r="Q32" i="31"/>
  <c r="M32" i="31"/>
  <c r="K32" i="31"/>
  <c r="I32" i="31"/>
  <c r="G32" i="31"/>
  <c r="D32" i="31"/>
  <c r="M18" i="31" l="1"/>
  <c r="AO44" i="31"/>
  <c r="AX18" i="31"/>
  <c r="AX45" i="31" s="1"/>
  <c r="AI44" i="31"/>
  <c r="U44" i="31"/>
  <c r="V44" i="31"/>
  <c r="AC44" i="31"/>
  <c r="AD44" i="31"/>
  <c r="P44" i="31"/>
  <c r="N44" i="31"/>
  <c r="L44" i="31"/>
  <c r="F44" i="31"/>
  <c r="E44" i="31"/>
  <c r="AA44" i="31"/>
  <c r="X18" i="31"/>
  <c r="X44" i="31" s="1"/>
  <c r="H18" i="31"/>
  <c r="H45" i="31" s="1"/>
  <c r="W18" i="31"/>
  <c r="G18" i="31"/>
  <c r="Q18" i="31"/>
  <c r="AJ18" i="31"/>
  <c r="R18" i="31"/>
  <c r="AA18" i="31"/>
  <c r="AA45" i="31" s="1"/>
  <c r="AP18" i="31"/>
  <c r="K31" i="31"/>
  <c r="AH31" i="31"/>
  <c r="Z31" i="31"/>
  <c r="W31" i="31"/>
  <c r="Q31" i="31"/>
  <c r="M31" i="31"/>
  <c r="AP31" i="31"/>
  <c r="G31" i="31"/>
  <c r="AB31" i="31"/>
  <c r="D31" i="31"/>
  <c r="I31" i="31"/>
  <c r="T31" i="31"/>
  <c r="AE31" i="31"/>
  <c r="AJ31" i="31"/>
  <c r="C21" i="31"/>
  <c r="AB19" i="31"/>
  <c r="AB18" i="31" s="1"/>
  <c r="C27" i="31"/>
  <c r="AG29" i="31"/>
  <c r="C32" i="31"/>
  <c r="S33" i="31"/>
  <c r="C22" i="31"/>
  <c r="AN37" i="31"/>
  <c r="AG37" i="31" s="1"/>
  <c r="AN39" i="31"/>
  <c r="AG39" i="31" s="1"/>
  <c r="AG22" i="31"/>
  <c r="C26" i="31"/>
  <c r="AN30" i="31"/>
  <c r="AG30" i="31" s="1"/>
  <c r="AN34" i="31"/>
  <c r="AG34" i="31" s="1"/>
  <c r="S35" i="31"/>
  <c r="C36" i="31"/>
  <c r="S56" i="31"/>
  <c r="D18" i="31"/>
  <c r="S20" i="31"/>
  <c r="C23" i="31"/>
  <c r="AN33" i="31"/>
  <c r="AG33" i="31" s="1"/>
  <c r="S55" i="31"/>
  <c r="AG20" i="31"/>
  <c r="S25" i="31"/>
  <c r="AN54" i="31"/>
  <c r="AG54" i="31" s="1"/>
  <c r="C55" i="31"/>
  <c r="AN56" i="31"/>
  <c r="AG56" i="31" s="1"/>
  <c r="AG26" i="31"/>
  <c r="S30" i="31"/>
  <c r="AN32" i="31"/>
  <c r="C34" i="31"/>
  <c r="AN52" i="31"/>
  <c r="AG52" i="31" s="1"/>
  <c r="S54" i="31"/>
  <c r="T18" i="31"/>
  <c r="AF18" i="31"/>
  <c r="AF45" i="31" s="1"/>
  <c r="AG21" i="31"/>
  <c r="AG23" i="31"/>
  <c r="AG24" i="31"/>
  <c r="AG25" i="31"/>
  <c r="AG27" i="31"/>
  <c r="AG28" i="31"/>
  <c r="S29" i="31"/>
  <c r="C30" i="31"/>
  <c r="S32" i="31"/>
  <c r="C33" i="31"/>
  <c r="AN35" i="31"/>
  <c r="AG35" i="31" s="1"/>
  <c r="C51" i="31"/>
  <c r="AH19" i="31"/>
  <c r="AH18" i="31" s="1"/>
  <c r="S24" i="31"/>
  <c r="S28" i="31"/>
  <c r="C29" i="31"/>
  <c r="S39" i="31"/>
  <c r="AN55" i="31"/>
  <c r="AG55" i="31" s="1"/>
  <c r="C56" i="31"/>
  <c r="C20" i="31"/>
  <c r="S21" i="31"/>
  <c r="S22" i="31"/>
  <c r="S23" i="31"/>
  <c r="C24" i="31"/>
  <c r="C25" i="31"/>
  <c r="S26" i="31"/>
  <c r="S27" i="31"/>
  <c r="C28" i="31"/>
  <c r="S34" i="31"/>
  <c r="AN36" i="31"/>
  <c r="AG36" i="31" s="1"/>
  <c r="S38" i="31"/>
  <c r="C39" i="31"/>
  <c r="AN51" i="31"/>
  <c r="AG51" i="31" s="1"/>
  <c r="S53" i="31"/>
  <c r="C54" i="31"/>
  <c r="C35" i="31"/>
  <c r="S37" i="31"/>
  <c r="C38" i="31"/>
  <c r="S52" i="31"/>
  <c r="C53" i="31"/>
  <c r="S36" i="31"/>
  <c r="C37" i="31"/>
  <c r="AN38" i="31"/>
  <c r="AG38" i="31" s="1"/>
  <c r="S51" i="31"/>
  <c r="C52" i="31"/>
  <c r="AN53" i="31"/>
  <c r="AG53" i="31" s="1"/>
  <c r="C18" i="31" l="1"/>
  <c r="H44" i="31"/>
  <c r="X45" i="31"/>
  <c r="AF44" i="31"/>
  <c r="AN18" i="31"/>
  <c r="S31" i="31"/>
  <c r="C31" i="31"/>
  <c r="AG32" i="31"/>
  <c r="AG31" i="31" s="1"/>
  <c r="AN31" i="31"/>
  <c r="AE19" i="31"/>
  <c r="C19" i="31"/>
  <c r="B28" i="31"/>
  <c r="B20" i="31"/>
  <c r="B26" i="31"/>
  <c r="B27" i="31"/>
  <c r="B22" i="31"/>
  <c r="B33" i="31"/>
  <c r="B39" i="31"/>
  <c r="B24" i="31"/>
  <c r="B54" i="31"/>
  <c r="B23" i="31"/>
  <c r="AG19" i="31"/>
  <c r="AG18" i="31" s="1"/>
  <c r="B38" i="31"/>
  <c r="B55" i="31"/>
  <c r="B56" i="31"/>
  <c r="B21" i="31"/>
  <c r="B30" i="31"/>
  <c r="B36" i="31"/>
  <c r="B53" i="31"/>
  <c r="B37" i="31"/>
  <c r="B29" i="31"/>
  <c r="B35" i="31"/>
  <c r="B34" i="31"/>
  <c r="B25" i="31"/>
  <c r="B51" i="31"/>
  <c r="B52" i="31"/>
  <c r="B32" i="31" l="1"/>
  <c r="B31" i="31" s="1"/>
  <c r="S19" i="31"/>
  <c r="S18" i="31" s="1"/>
  <c r="B18" i="31" s="1"/>
  <c r="AE18" i="31"/>
  <c r="B19" i="31"/>
  <c r="BD3" i="26" l="1"/>
  <c r="BD4" i="26"/>
  <c r="BD5" i="26"/>
  <c r="BD2" i="26"/>
  <c r="BA3" i="26"/>
  <c r="BB3" i="26"/>
  <c r="BC3" i="26"/>
  <c r="BA4" i="26"/>
  <c r="BB4" i="26"/>
  <c r="BC4" i="26"/>
  <c r="BA5" i="26"/>
  <c r="BB5" i="26"/>
  <c r="BC5" i="26"/>
  <c r="BC2" i="26"/>
  <c r="BB2" i="26"/>
  <c r="BA2" i="26"/>
  <c r="AY3" i="26"/>
  <c r="AY4" i="26"/>
  <c r="AY5" i="26"/>
  <c r="AY2" i="26"/>
  <c r="AH4" i="26"/>
  <c r="R45" i="31" l="1"/>
  <c r="R44" i="31"/>
  <c r="J45" i="31" l="1"/>
  <c r="J44" i="31"/>
  <c r="AT5" i="26"/>
  <c r="AP3" i="26" l="1"/>
  <c r="AX3" i="26"/>
  <c r="AP4" i="26"/>
  <c r="AN4" i="26" s="1"/>
  <c r="AX4" i="26"/>
  <c r="AP5" i="26"/>
  <c r="AX5" i="26"/>
  <c r="AJ3" i="26"/>
  <c r="AH3" i="26" s="1"/>
  <c r="AJ4" i="26"/>
  <c r="AJ5" i="26"/>
  <c r="AH5" i="26" s="1"/>
  <c r="D3" i="26"/>
  <c r="G3" i="26"/>
  <c r="I3" i="26"/>
  <c r="K3" i="26"/>
  <c r="M3" i="26"/>
  <c r="Q3" i="26"/>
  <c r="T3" i="26"/>
  <c r="W3" i="26"/>
  <c r="Z3" i="26"/>
  <c r="AB3" i="26"/>
  <c r="AE3" i="26"/>
  <c r="D4" i="26"/>
  <c r="G4" i="26"/>
  <c r="I4" i="26"/>
  <c r="K4" i="26"/>
  <c r="M4" i="26"/>
  <c r="Q4" i="26"/>
  <c r="T4" i="26"/>
  <c r="W4" i="26"/>
  <c r="Z4" i="26"/>
  <c r="AB4" i="26"/>
  <c r="AE4" i="26"/>
  <c r="D5" i="26"/>
  <c r="G5" i="26"/>
  <c r="I5" i="26"/>
  <c r="K5" i="26"/>
  <c r="M5" i="26"/>
  <c r="Q5" i="26"/>
  <c r="T5" i="26"/>
  <c r="W5" i="26"/>
  <c r="Z5" i="26"/>
  <c r="AB5" i="26"/>
  <c r="AE5" i="26"/>
  <c r="AN5" i="26" l="1"/>
  <c r="AG5" i="26" s="1"/>
  <c r="AN3" i="26"/>
  <c r="AG3" i="26" s="1"/>
  <c r="C5" i="26"/>
  <c r="S4" i="26"/>
  <c r="S5" i="26"/>
  <c r="C4" i="26"/>
  <c r="C3" i="26"/>
  <c r="S3" i="26"/>
  <c r="AG4" i="26"/>
  <c r="B4" i="26" l="1"/>
  <c r="B5" i="26"/>
  <c r="B3" i="26"/>
  <c r="D40" i="31" l="1"/>
  <c r="G40" i="31"/>
  <c r="I40" i="31"/>
  <c r="K40" i="31"/>
  <c r="M40" i="31"/>
  <c r="Q40" i="31"/>
  <c r="C40" i="31" s="1"/>
  <c r="T40" i="31"/>
  <c r="W40" i="31"/>
  <c r="Z40" i="31"/>
  <c r="AB40" i="31"/>
  <c r="AE40" i="31"/>
  <c r="AJ40" i="31"/>
  <c r="AH40" i="31" s="1"/>
  <c r="AP40" i="31"/>
  <c r="AX40" i="31"/>
  <c r="AX44" i="31" s="1"/>
  <c r="D48" i="31"/>
  <c r="G48" i="31"/>
  <c r="I48" i="31"/>
  <c r="K48" i="31"/>
  <c r="M48" i="31"/>
  <c r="Q48" i="31"/>
  <c r="T48" i="31"/>
  <c r="W48" i="31"/>
  <c r="Z48" i="31"/>
  <c r="AB48" i="31"/>
  <c r="AE48" i="31"/>
  <c r="AJ48" i="31"/>
  <c r="AH48" i="31" s="1"/>
  <c r="AP48" i="31"/>
  <c r="AX48" i="31"/>
  <c r="G49" i="31"/>
  <c r="I49" i="31"/>
  <c r="K49" i="31"/>
  <c r="M49" i="31"/>
  <c r="Q49" i="31"/>
  <c r="T49" i="31"/>
  <c r="W49" i="31"/>
  <c r="Z49" i="31"/>
  <c r="AB49" i="31"/>
  <c r="AE49" i="31"/>
  <c r="AJ49" i="31"/>
  <c r="AH49" i="31" s="1"/>
  <c r="AP49" i="31"/>
  <c r="AX49" i="31"/>
  <c r="D13" i="31"/>
  <c r="I13" i="31"/>
  <c r="M13" i="31"/>
  <c r="Q13" i="31"/>
  <c r="W13" i="31"/>
  <c r="Z13" i="31"/>
  <c r="AB13" i="31"/>
  <c r="AE13" i="31"/>
  <c r="AJ13" i="31"/>
  <c r="AH13" i="31" s="1"/>
  <c r="AP13" i="31"/>
  <c r="D14" i="31"/>
  <c r="G14" i="31"/>
  <c r="I14" i="31"/>
  <c r="K14" i="31"/>
  <c r="M14" i="31"/>
  <c r="Q14" i="31"/>
  <c r="W14" i="31"/>
  <c r="Z14" i="31"/>
  <c r="AB14" i="31"/>
  <c r="AE14" i="31"/>
  <c r="AJ14" i="31"/>
  <c r="AP14" i="31"/>
  <c r="AX14" i="31"/>
  <c r="D15" i="31"/>
  <c r="G15" i="31"/>
  <c r="I15" i="31"/>
  <c r="K15" i="31"/>
  <c r="M15" i="31"/>
  <c r="Q15" i="31"/>
  <c r="T15" i="31"/>
  <c r="W15" i="31"/>
  <c r="Z15" i="31"/>
  <c r="AB15" i="31"/>
  <c r="AE15" i="31"/>
  <c r="AJ15" i="31"/>
  <c r="AH15" i="31" s="1"/>
  <c r="AP15" i="31"/>
  <c r="AX15" i="31"/>
  <c r="D16" i="31"/>
  <c r="G16" i="31"/>
  <c r="I16" i="31"/>
  <c r="K16" i="31"/>
  <c r="M16" i="31"/>
  <c r="W16" i="31"/>
  <c r="Z16" i="31"/>
  <c r="AB16" i="31"/>
  <c r="AE16" i="31"/>
  <c r="AJ16" i="31"/>
  <c r="AH16" i="31" s="1"/>
  <c r="AP16" i="31"/>
  <c r="AN16" i="31" s="1"/>
  <c r="D17" i="31"/>
  <c r="G17" i="31"/>
  <c r="I17" i="31"/>
  <c r="K17" i="31"/>
  <c r="M17" i="31"/>
  <c r="Q17" i="31"/>
  <c r="T17" i="31"/>
  <c r="W17" i="31"/>
  <c r="Z17" i="31"/>
  <c r="AB17" i="31"/>
  <c r="AE17" i="31"/>
  <c r="AJ17" i="31"/>
  <c r="AH17" i="31" s="1"/>
  <c r="AP17" i="31"/>
  <c r="G41" i="31"/>
  <c r="I41" i="31"/>
  <c r="K41" i="31"/>
  <c r="M41" i="31"/>
  <c r="C41" i="31" s="1"/>
  <c r="Q41" i="31"/>
  <c r="T41" i="31"/>
  <c r="W41" i="31"/>
  <c r="Z41" i="31"/>
  <c r="AB41" i="31"/>
  <c r="AE41" i="31"/>
  <c r="AJ41" i="31"/>
  <c r="AP41" i="31"/>
  <c r="G42" i="31"/>
  <c r="I42" i="31"/>
  <c r="K42" i="31"/>
  <c r="M42" i="31"/>
  <c r="C42" i="31" s="1"/>
  <c r="Q42" i="31"/>
  <c r="W42" i="31"/>
  <c r="Z42" i="31"/>
  <c r="AB42" i="31"/>
  <c r="AE42" i="31"/>
  <c r="AJ42" i="31"/>
  <c r="AH42" i="31" s="1"/>
  <c r="AP42" i="31"/>
  <c r="D3" i="31"/>
  <c r="G3" i="31"/>
  <c r="I3" i="31"/>
  <c r="K3" i="31"/>
  <c r="M3" i="31"/>
  <c r="T3" i="31"/>
  <c r="W3" i="31"/>
  <c r="Z3" i="31"/>
  <c r="AB3" i="31"/>
  <c r="AE3" i="31"/>
  <c r="AJ3" i="31"/>
  <c r="AP12" i="31"/>
  <c r="AJ12" i="31"/>
  <c r="AE12" i="31"/>
  <c r="AB12" i="31"/>
  <c r="Z12" i="31"/>
  <c r="Z45" i="31" s="1"/>
  <c r="W12" i="31"/>
  <c r="Q12" i="31"/>
  <c r="M12" i="31"/>
  <c r="K12" i="31"/>
  <c r="I12" i="31"/>
  <c r="G12" i="31"/>
  <c r="G45" i="31" s="1"/>
  <c r="D12" i="31"/>
  <c r="AX2" i="26"/>
  <c r="AP2" i="26"/>
  <c r="AJ2" i="26"/>
  <c r="AH2" i="26" s="1"/>
  <c r="AE2" i="26"/>
  <c r="AB2" i="26"/>
  <c r="Z2" i="26"/>
  <c r="W2" i="26"/>
  <c r="T2" i="26"/>
  <c r="Q2" i="26"/>
  <c r="M2" i="26"/>
  <c r="K2" i="26"/>
  <c r="I2" i="26"/>
  <c r="G2" i="26"/>
  <c r="D2" i="26"/>
  <c r="S12" i="31" l="1"/>
  <c r="M45" i="31"/>
  <c r="K44" i="31"/>
  <c r="D45" i="31"/>
  <c r="W44" i="31"/>
  <c r="AB45" i="31"/>
  <c r="Q45" i="31"/>
  <c r="AN12" i="31"/>
  <c r="AG12" i="31" s="1"/>
  <c r="AP45" i="31"/>
  <c r="AE44" i="31"/>
  <c r="I44" i="31"/>
  <c r="I45" i="31"/>
  <c r="AE45" i="31"/>
  <c r="AB44" i="31"/>
  <c r="Q44" i="31"/>
  <c r="G44" i="31"/>
  <c r="AH41" i="31"/>
  <c r="AJ44" i="31"/>
  <c r="K45" i="31"/>
  <c r="W45" i="31"/>
  <c r="AH12" i="31"/>
  <c r="AJ45" i="31"/>
  <c r="AN41" i="31"/>
  <c r="AP44" i="31"/>
  <c r="Z44" i="31"/>
  <c r="M44" i="31"/>
  <c r="D44" i="31"/>
  <c r="T45" i="31"/>
  <c r="T44" i="31"/>
  <c r="AN14" i="31"/>
  <c r="AG14" i="31" s="1"/>
  <c r="AN49" i="31"/>
  <c r="AG49" i="31" s="1"/>
  <c r="C48" i="31"/>
  <c r="S41" i="31"/>
  <c r="AN3" i="31"/>
  <c r="AG3" i="31" s="1"/>
  <c r="AN17" i="31"/>
  <c r="AG17" i="31" s="1"/>
  <c r="AN13" i="31"/>
  <c r="AN40" i="31"/>
  <c r="AG40" i="31" s="1"/>
  <c r="AN2" i="26"/>
  <c r="AG2" i="26" s="1"/>
  <c r="AN42" i="31"/>
  <c r="AG42" i="31" s="1"/>
  <c r="AN15" i="31"/>
  <c r="AG15" i="31" s="1"/>
  <c r="AN48" i="31"/>
  <c r="AG48" i="31" s="1"/>
  <c r="C15" i="31"/>
  <c r="C3" i="31"/>
  <c r="C17" i="31"/>
  <c r="C13" i="31"/>
  <c r="C16" i="31"/>
  <c r="C12" i="31"/>
  <c r="C14" i="31"/>
  <c r="C2" i="26"/>
  <c r="S14" i="31"/>
  <c r="S40" i="31"/>
  <c r="S17" i="31"/>
  <c r="S2" i="26"/>
  <c r="S42" i="31"/>
  <c r="S15" i="31"/>
  <c r="S48" i="31"/>
  <c r="S3" i="31"/>
  <c r="S49" i="31"/>
  <c r="AG16" i="31"/>
  <c r="AH45" i="31" l="1"/>
  <c r="AN44" i="31"/>
  <c r="B3" i="31"/>
  <c r="C45" i="31"/>
  <c r="AG41" i="31"/>
  <c r="AG44" i="31" s="1"/>
  <c r="AH44" i="31"/>
  <c r="C44" i="31"/>
  <c r="AN45" i="31"/>
  <c r="S45" i="31"/>
  <c r="S44" i="31"/>
  <c r="B12" i="31"/>
  <c r="B13" i="31"/>
  <c r="B40" i="31"/>
  <c r="B17" i="31"/>
  <c r="B48" i="31"/>
  <c r="B14" i="31"/>
  <c r="B2" i="26"/>
  <c r="B16" i="31"/>
  <c r="B42" i="31"/>
  <c r="B15" i="31"/>
  <c r="AG45" i="31" l="1"/>
  <c r="B41" i="31"/>
  <c r="B44" i="31" s="1"/>
  <c r="AX2" i="17"/>
  <c r="AP2" i="17"/>
  <c r="AN2" i="17" s="1"/>
  <c r="AJ2" i="17"/>
  <c r="AH2" i="17" s="1"/>
  <c r="AE2" i="17"/>
  <c r="AB2" i="17"/>
  <c r="Z2" i="17"/>
  <c r="W2" i="17"/>
  <c r="S2" i="17" s="1"/>
  <c r="T2" i="17"/>
  <c r="Q2" i="17"/>
  <c r="M2" i="17"/>
  <c r="K2" i="17"/>
  <c r="I2" i="17"/>
  <c r="G2" i="17"/>
  <c r="D2" i="17"/>
  <c r="B45" i="31" l="1"/>
  <c r="B46" i="31"/>
  <c r="AG2" i="17"/>
  <c r="C2" i="17"/>
  <c r="B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tc={974A34D0-F9AC-4334-911D-0BFE4B8AD0D4}</author>
  </authors>
  <commentList>
    <comment ref="G54" authorId="0" shapeId="0" xr:uid="{974A34D0-F9AC-4334-911D-0BFE4B8AD0D4}">
      <text>
        <t>[Threaded comment]
Your version of Excel allows you to read this threaded comment; however, any edits to it will get removed if the file is opened in a newer version of Excel. Learn more: https://go.microsoft.com/fwlink/?linkid=870924
Comment:
    Not discussed in sifficient detail in the 2021 Annual Report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tc={DB0B12E7-2D3C-454C-9C47-4E1F89CF28B7}</author>
    <author>tc={4D058CE9-B2D3-4DCC-9881-EFB2A823656F}</author>
    <author>tc={908F35B3-BF86-4B8F-A73A-703E75B1E4B8}</author>
    <author>tc={C49ECB2B-6E7D-4DEF-AD28-F7510A91AEE7}</author>
  </authors>
  <commentList>
    <comment ref="AH1" authorId="0" shapeId="0" xr:uid="{DB0B12E7-2D3C-454C-9C47-4E1F89CF28B7}">
      <text>
        <t>[Threaded comment]
Your version of Excel allows you to read this threaded comment; however, any edits to it will get removed if the file is opened in a newer version of Excel. Learn more: https://go.microsoft.com/fwlink/?linkid=870924
Comment:
    Toronto not included</t>
      </text>
    </comment>
    <comment ref="AP1" authorId="1" shapeId="0" xr:uid="{4D058CE9-B2D3-4DCC-9881-EFB2A823656F}">
      <text>
        <t>[Threaded comment]
Your version of Excel allows you to read this threaded comment; however, any edits to it will get removed if the file is opened in a newer version of Excel. Learn more: https://go.microsoft.com/fwlink/?linkid=870924
Comment:
    Does not include the other closure or the regional 'office'</t>
      </text>
    </comment>
    <comment ref="X3" authorId="2" shapeId="0" xr:uid="{908F35B3-BF86-4B8F-A73A-703E75B1E4B8}">
      <text>
        <t>[Threaded comment]
Your version of Excel allows you to read this threaded comment; however, any edits to it will get removed if the file is opened in a newer version of Excel. Learn more: https://go.microsoft.com/fwlink/?linkid=870924
Comment:
    Equipment sold</t>
      </text>
    </comment>
    <comment ref="A4" authorId="3" shapeId="0" xr:uid="{C49ECB2B-6E7D-4DEF-AD28-F7510A91AEE7}">
      <text>
        <t>[Threaded comment]
Your version of Excel allows you to read this threaded comment; however, any edits to it will get removed if the file is opened in a newer version of Excel. Learn more: https://go.microsoft.com/fwlink/?linkid=870924
Comment:
    Categories inlcuded in RRL template. If we just roll up to total revenue may be easier?</t>
      </text>
    </comment>
  </commentList>
</comments>
</file>

<file path=xl/sharedStrings.xml><?xml version="1.0" encoding="utf-8"?>
<sst xmlns="http://schemas.openxmlformats.org/spreadsheetml/2006/main" count="3612" uniqueCount="879">
  <si>
    <t>Priority</t>
  </si>
  <si>
    <t>Topic</t>
  </si>
  <si>
    <t>Number</t>
  </si>
  <si>
    <t>Description</t>
  </si>
  <si>
    <t>Reported</t>
  </si>
  <si>
    <t>Reference</t>
  </si>
  <si>
    <t>ICMM Principle</t>
  </si>
  <si>
    <t>UN Global Compact Principle</t>
  </si>
  <si>
    <t>SDG</t>
  </si>
  <si>
    <t>Comment</t>
  </si>
  <si>
    <t>Core</t>
  </si>
  <si>
    <t>Standard Disclosures</t>
  </si>
  <si>
    <t>102-1</t>
  </si>
  <si>
    <t>Name of the organization</t>
  </si>
  <si>
    <t>Fully</t>
  </si>
  <si>
    <t>About this report</t>
  </si>
  <si>
    <t>Barrick Gold Corporation</t>
  </si>
  <si>
    <t>102-2</t>
  </si>
  <si>
    <t>Activities, brands, products, and services</t>
  </si>
  <si>
    <t>Annual Information Form</t>
  </si>
  <si>
    <t>Barrick’s principle products and sources of earnings are gold and copper.</t>
  </si>
  <si>
    <t>102-3</t>
  </si>
  <si>
    <t>Location of headquarters</t>
  </si>
  <si>
    <t>Our business at a glance</t>
  </si>
  <si>
    <t>Toronto, Canada</t>
  </si>
  <si>
    <t>102-4</t>
  </si>
  <si>
    <t>Location of operations</t>
  </si>
  <si>
    <t>102-5</t>
  </si>
  <si>
    <t>Ownership and legal form</t>
  </si>
  <si>
    <t>Barrick is a corporation owned by shareholders. It is listed on both the New York and Toronto stock exchanges.</t>
  </si>
  <si>
    <t>102-6</t>
  </si>
  <si>
    <t>Markets served</t>
  </si>
  <si>
    <t xml:space="preserve">GRI content index </t>
  </si>
  <si>
    <t>Gold can be readily sold on numerous markets throughout the world. Governments, central banks and other official institutions hold significant quantities of gold as a component of exchange reserves. Since there are a large number of available gold purchasers, Barrick is not dependent upon the sale of gold to any one customer. At the Lumwana and Jabal Sayid copper mines, concentrate is sold to smelters. Since there are a large number of available copper cathode and copper concentrate purchasers, Barrick is not dependent upon the sale of copper to any one customer.</t>
  </si>
  <si>
    <t>102-7</t>
  </si>
  <si>
    <t>Scale of the organization</t>
  </si>
  <si>
    <t>Our business at a glance; 2019 Annual Information Form; 2019 Annual Report</t>
  </si>
  <si>
    <r>
      <rPr>
        <b/>
        <sz val="10"/>
        <rFont val="Arial"/>
        <family val="2"/>
      </rPr>
      <t xml:space="preserve">Total number of people employed by Barrick: </t>
    </r>
    <r>
      <rPr>
        <sz val="10"/>
        <rFont val="Arial"/>
        <family val="2"/>
      </rPr>
      <t>25,000</t>
    </r>
  </si>
  <si>
    <r>
      <rPr>
        <b/>
        <sz val="10"/>
        <rFont val="Arial"/>
        <family val="2"/>
      </rPr>
      <t xml:space="preserve">Total number of operations: </t>
    </r>
    <r>
      <rPr>
        <sz val="10"/>
        <rFont val="Arial"/>
        <family val="2"/>
      </rPr>
      <t>17</t>
    </r>
  </si>
  <si>
    <r>
      <rPr>
        <b/>
        <sz val="10"/>
        <rFont val="Arial"/>
        <family val="2"/>
      </rPr>
      <t>Revenue:</t>
    </r>
    <r>
      <rPr>
        <sz val="10"/>
        <rFont val="Arial"/>
        <family val="2"/>
      </rPr>
      <t xml:space="preserve"> $9.717 billion</t>
    </r>
  </si>
  <si>
    <r>
      <rPr>
        <b/>
        <sz val="10"/>
        <rFont val="Arial"/>
        <family val="2"/>
      </rPr>
      <t xml:space="preserve">Total Capitalization: </t>
    </r>
    <r>
      <rPr>
        <sz val="10"/>
        <rFont val="Arial"/>
        <family val="2"/>
      </rPr>
      <t xml:space="preserve"> As of December 31, 2019 total debt was $5.53 billion and total equity was $29.827 billion</t>
    </r>
  </si>
  <si>
    <r>
      <rPr>
        <b/>
        <sz val="10"/>
        <rFont val="Arial"/>
        <family val="2"/>
      </rPr>
      <t>Quantity of Products:</t>
    </r>
    <r>
      <rPr>
        <sz val="10"/>
        <rFont val="Arial"/>
        <family val="2"/>
      </rPr>
      <t xml:space="preserve"> In 2019 on an attributable basis, Barrick’s gold production was 5.465 million ounces and copper production was 432 million pounds of copper.</t>
    </r>
  </si>
  <si>
    <t>102-8</t>
  </si>
  <si>
    <t>Information on employees and other workers</t>
  </si>
  <si>
    <t>Workforce Composition</t>
  </si>
  <si>
    <t>Full data set found in the attached data sheets.</t>
  </si>
  <si>
    <t>102-9</t>
  </si>
  <si>
    <t>Supply chain</t>
  </si>
  <si>
    <t>Social and Economic Development - Strenghthening the Chain</t>
  </si>
  <si>
    <t>102-10</t>
  </si>
  <si>
    <t>Significant changes to the organization and its supply chain</t>
  </si>
  <si>
    <t>Message from our CEO; 2019 Annual Information Form</t>
  </si>
  <si>
    <t>102-11</t>
  </si>
  <si>
    <t>Precautionary Principle or approach</t>
  </si>
  <si>
    <t>GRI content index</t>
  </si>
  <si>
    <t>Since there may be significant impacts to the environment due to our operations, Barrick is committed to using a precautionary approach throughout the life of a mine. When contemplating changes to mine plans we first assess potential environmental impacts, and then evaluate how to avoid, control or mitigate these impacts, even when there is a lack of scientific certainty as to the likelihood or magnitude of the impacts.</t>
  </si>
  <si>
    <t>102-12</t>
  </si>
  <si>
    <t>External initiatives</t>
  </si>
  <si>
    <t>102-13</t>
  </si>
  <si>
    <t xml:space="preserve">Membership of associations </t>
  </si>
  <si>
    <t>102-14</t>
  </si>
  <si>
    <t>Statement from senior decision-maker</t>
  </si>
  <si>
    <t>Message from our CEO;</t>
  </si>
  <si>
    <t>102-15</t>
  </si>
  <si>
    <t>Key impacts, risks, and opportunities</t>
  </si>
  <si>
    <t>Our approach</t>
  </si>
  <si>
    <t>102-16</t>
  </si>
  <si>
    <t xml:space="preserve">Values, principles, standards, and norms of behavior </t>
  </si>
  <si>
    <t>Our approach - Our principles</t>
  </si>
  <si>
    <t>102-17</t>
  </si>
  <si>
    <t>Mechanisms for advice and concerns about ethics</t>
  </si>
  <si>
    <t>Doing business in an ethical manner</t>
  </si>
  <si>
    <t>102-18</t>
  </si>
  <si>
    <t xml:space="preserve">Governance structure </t>
  </si>
  <si>
    <t>Our approach - Governance of sustainability</t>
  </si>
  <si>
    <t>102-19</t>
  </si>
  <si>
    <t xml:space="preserve">Delegating authority </t>
  </si>
  <si>
    <t>102-20</t>
  </si>
  <si>
    <t xml:space="preserve">Executive-level responsibility for economic, environmental, and social topics </t>
  </si>
  <si>
    <t>102-21</t>
  </si>
  <si>
    <t xml:space="preserve">Consulting stakeholders on economic, environmental, and social topics </t>
  </si>
  <si>
    <t>Our approach - Governance of sustainability - Stakeholder engagement</t>
  </si>
  <si>
    <t>102-22</t>
  </si>
  <si>
    <t xml:space="preserve">Composition of the highest governance body and its committees </t>
  </si>
  <si>
    <t>2019 Information Circular</t>
  </si>
  <si>
    <t>102-23</t>
  </si>
  <si>
    <t xml:space="preserve">Chair of the highest governance body </t>
  </si>
  <si>
    <t>102-24</t>
  </si>
  <si>
    <t xml:space="preserve">Nominating and selecting the highest governance body </t>
  </si>
  <si>
    <t>102-25</t>
  </si>
  <si>
    <t xml:space="preserve">Conflicts of interest </t>
  </si>
  <si>
    <t>102-35</t>
  </si>
  <si>
    <t>Remuneration policies</t>
  </si>
  <si>
    <t>Our approach - remuneration policies; 2019 Information Circular</t>
  </si>
  <si>
    <t>102-36</t>
  </si>
  <si>
    <t xml:space="preserve">Process for determining remuneration </t>
  </si>
  <si>
    <t>102-37</t>
  </si>
  <si>
    <t xml:space="preserve">Stakeholders’ involvement in remuneration </t>
  </si>
  <si>
    <t>102-40</t>
  </si>
  <si>
    <t xml:space="preserve">List of stakeholder groups </t>
  </si>
  <si>
    <t>102-41</t>
  </si>
  <si>
    <t>Collective bargaining agreements</t>
  </si>
  <si>
    <t>Human rights - Labour rights</t>
  </si>
  <si>
    <t>102-42</t>
  </si>
  <si>
    <t xml:space="preserve">Identifying and selecting stakeholders </t>
  </si>
  <si>
    <t>102-43</t>
  </si>
  <si>
    <t>Approach to stakeholder engagement</t>
  </si>
  <si>
    <t>102-44</t>
  </si>
  <si>
    <t>Key topics and concerns raised</t>
  </si>
  <si>
    <t>102-45</t>
  </si>
  <si>
    <t xml:space="preserve">Entities included in the consolidated financial statements </t>
  </si>
  <si>
    <t>102-46</t>
  </si>
  <si>
    <t xml:space="preserve">Defining report content and topic Boundaries </t>
  </si>
  <si>
    <t>Our approach - Materiality assessment</t>
  </si>
  <si>
    <t>102-47</t>
  </si>
  <si>
    <t xml:space="preserve">List of material topics </t>
  </si>
  <si>
    <t>102-48</t>
  </si>
  <si>
    <t>Restatements of information</t>
  </si>
  <si>
    <t xml:space="preserve"> Barrick restated its historical data following changes to the methodology to capture a wider scope of industrial emissions, updated conversion factors, and to include emissions from smaller contributors (such as gasoline). Certain joint venture properties were also not included in Barrick’s previous reporting.</t>
  </si>
  <si>
    <t>102-49</t>
  </si>
  <si>
    <t xml:space="preserve">Changes in reporting </t>
  </si>
  <si>
    <t>102-50</t>
  </si>
  <si>
    <t xml:space="preserve">Reporting period </t>
  </si>
  <si>
    <t>102-51</t>
  </si>
  <si>
    <t xml:space="preserve">Date of most recent report </t>
  </si>
  <si>
    <t>102-52</t>
  </si>
  <si>
    <t>Reporting cycle</t>
  </si>
  <si>
    <t>Annual.</t>
  </si>
  <si>
    <t>102-53</t>
  </si>
  <si>
    <t xml:space="preserve">Contact point for questions regarding the report </t>
  </si>
  <si>
    <t>sustainability@barrick.com</t>
  </si>
  <si>
    <t>102-54</t>
  </si>
  <si>
    <t>Claims of reporting in accordance with the GRI Standards</t>
  </si>
  <si>
    <t>Barrick reports to the GRI Sustainability Reporting Standards, in accordance with the Core option.</t>
  </si>
  <si>
    <t>102-55</t>
  </si>
  <si>
    <t>102-56</t>
  </si>
  <si>
    <t xml:space="preserve">External assurance </t>
  </si>
  <si>
    <t>Letters of independent assurance</t>
  </si>
  <si>
    <t>Material topic</t>
  </si>
  <si>
    <t>Economic Performance</t>
  </si>
  <si>
    <t>GRI DMA</t>
  </si>
  <si>
    <t xml:space="preserve">Social and economic development </t>
  </si>
  <si>
    <t>6, 10</t>
  </si>
  <si>
    <t>GRI 201-1</t>
  </si>
  <si>
    <t>Direct economic value geneated and distributed</t>
  </si>
  <si>
    <t>Partially</t>
  </si>
  <si>
    <t>2, 5, 7, 9</t>
  </si>
  <si>
    <t>GRI 201-2</t>
  </si>
  <si>
    <t>Financial implications and other risks and opportunities due to
climate change</t>
  </si>
  <si>
    <t>Environment - Climate Change</t>
  </si>
  <si>
    <t>GRI 201-3</t>
  </si>
  <si>
    <t>Defined benefit plan obligations and other retirement plans</t>
  </si>
  <si>
    <t>2019 Annual report</t>
  </si>
  <si>
    <t>Market Presence</t>
  </si>
  <si>
    <t>DMA</t>
  </si>
  <si>
    <t>Social and economic development</t>
  </si>
  <si>
    <t>GRI 202-2</t>
  </si>
  <si>
    <t>Proportion of senior management hired from the local community</t>
  </si>
  <si>
    <t>Procurement Practices</t>
  </si>
  <si>
    <t>GRI 204-1</t>
  </si>
  <si>
    <t>Proportion of spending on local suppliers</t>
  </si>
  <si>
    <t>Anti-Corruption</t>
  </si>
  <si>
    <t>1, 4</t>
  </si>
  <si>
    <t>GRI 205-1</t>
  </si>
  <si>
    <t>Operations assessed for risks related to corruption</t>
  </si>
  <si>
    <t xml:space="preserve"> In 2019 we conducted one formal risk assessment, at Veladero in Argentina. </t>
  </si>
  <si>
    <t>GRI 205-2</t>
  </si>
  <si>
    <t>Communication and training about anti-corruption policies
and procedures</t>
  </si>
  <si>
    <t xml:space="preserve">We train all new employees on the Code of Business Conduct and Ethics during onboarding. Certain identified employees, such as country executive directors or community relations officers who may have interaction with governments and the local community, receive enhanced live training.  All full time employees are required to undergo an online annual refresher training with a goal of over 90% completion. In 2019, the global average completion rate was 92%. In addition, at least 90% of Barrick’s government-exposed employees received live training. Meeting the 90% target is part of the annual Executive remuneration scorecard. </t>
  </si>
  <si>
    <t>Material Use</t>
  </si>
  <si>
    <t>Management approach disclosures</t>
  </si>
  <si>
    <t>Environment - Safe cyanide and mercury management</t>
  </si>
  <si>
    <t>6, 8</t>
  </si>
  <si>
    <t>Cyanide management</t>
  </si>
  <si>
    <t>Energy</t>
  </si>
  <si>
    <t>Environment - Climate change</t>
  </si>
  <si>
    <t>1, 6</t>
  </si>
  <si>
    <t>8, 9</t>
  </si>
  <si>
    <t>GRI 302-1</t>
  </si>
  <si>
    <t>Energy consumption within the organization</t>
  </si>
  <si>
    <t>7, 13</t>
  </si>
  <si>
    <t xml:space="preserve">Full data set found in the attached data sheets. Energy use calculated using volumes of fuel or electricity used and relevant IPCC energy factors. </t>
  </si>
  <si>
    <t>GRI 302-3</t>
  </si>
  <si>
    <t>Energy intensity</t>
  </si>
  <si>
    <t xml:space="preserve">Full data set found in the attached data sheets. Energy intensity only includes energy consumed within the organization (fuel and electricity use). Tonnes of ore processed and ounces of gold produced are included at a 100% basis. </t>
  </si>
  <si>
    <t>Water and Effluents</t>
  </si>
  <si>
    <t>Environment - Water management</t>
  </si>
  <si>
    <t xml:space="preserve">GRI 303-3 </t>
  </si>
  <si>
    <t>Water withdrawal</t>
  </si>
  <si>
    <t>Full data set found in the attached data sheets. Data has been compiled in accordance with the ICMM Water Accounting Framework</t>
  </si>
  <si>
    <t>GRI 303-4</t>
  </si>
  <si>
    <t>Water discharge</t>
  </si>
  <si>
    <t>Full data set found in the attached data sheets. Data has been compiled based on the ICMM Water Accounting Framework</t>
  </si>
  <si>
    <t>GRI 303-5</t>
  </si>
  <si>
    <t>Water consumption</t>
  </si>
  <si>
    <t>Biodiversity</t>
  </si>
  <si>
    <t>Environment - Biodiversity</t>
  </si>
  <si>
    <t>6, 7</t>
  </si>
  <si>
    <t>GRI 304-1</t>
  </si>
  <si>
    <t>Operational sites owned, leased, managed in, or adjacent to, protected areas and areas of high biodiversity value outside protected areas</t>
  </si>
  <si>
    <t>GRI 304-3</t>
  </si>
  <si>
    <t>Habitats protected or restored</t>
  </si>
  <si>
    <t>MM10</t>
  </si>
  <si>
    <t>Amount of land disturbed or rehabilitated</t>
  </si>
  <si>
    <t>Emissions</t>
  </si>
  <si>
    <t>GRI 305-1</t>
  </si>
  <si>
    <t>Direct (Scope 1) GHG emissions</t>
  </si>
  <si>
    <t>Full data set found in the attached data sheets. Emissions include CO2, CH4, N2O; PFCs, SF6 and NF3 are not reported as they are not material sources of emissions. Emissions are calculated using volumes of fuel  applicable Greenhouse Gas Protocol factors.</t>
  </si>
  <si>
    <t>GRI 305-2</t>
  </si>
  <si>
    <t>Scope 2 Location</t>
  </si>
  <si>
    <t>Full data set found in the attached data sheets. Emissions are calculated using applicable state- or province-specific location factors or IEA country-factors where these are unavailable.</t>
  </si>
  <si>
    <t>Scope 2 Market</t>
  </si>
  <si>
    <t xml:space="preserve">Full data set found in the attached data sheets. Market based emissions for Nevada are calculated based on Portfolio Emission Credits (PECs) purchased. </t>
  </si>
  <si>
    <t>GRI 305-3</t>
  </si>
  <si>
    <t>Other indirect (Scope 3) GHG emissions</t>
  </si>
  <si>
    <t xml:space="preserve">Full data set found in the attached data sheets. Scope 3 greenhouse gas emissions for legacy Barrick include fuel and energy related activities and head office business travel. Scope 3 greenhouse gas emissions for former Randgold sites include upstream transporation and distribution, purchased goods and services and business travel. </t>
  </si>
  <si>
    <t>GRI 305-4</t>
  </si>
  <si>
    <t>GHG emissions intensity</t>
  </si>
  <si>
    <t xml:space="preserve">Full data set found in the attached data sheets. Greenhouse gas intensity includes Scope 1 and Scope 2 - Location emissions. Tonnes of ore processed and ounces of gold produced are included at a 100% basis. </t>
  </si>
  <si>
    <t>GRI 305-5</t>
  </si>
  <si>
    <t>Reduction of GHG emissions</t>
  </si>
  <si>
    <t>No</t>
  </si>
  <si>
    <t>GRI 305-7</t>
  </si>
  <si>
    <t xml:space="preserve">Nitrogen oxides (NOX), sulfur oxides (SOX), and other significant air emissions </t>
  </si>
  <si>
    <t xml:space="preserve">Full data set found in the attached data sheets. Air emissions data only includes sites and emissions  required by government regulation. Emissions are calculated in accordance with local regulatory requirments. </t>
  </si>
  <si>
    <t>Waste</t>
  </si>
  <si>
    <t>Mine waste</t>
  </si>
  <si>
    <t>Environment - Non-processing waste</t>
  </si>
  <si>
    <t>1, 6, 8</t>
  </si>
  <si>
    <t>GRI 306-2</t>
  </si>
  <si>
    <t>Waste by type and disposal method</t>
  </si>
  <si>
    <t>6, 12</t>
  </si>
  <si>
    <t>GRI 306-3</t>
  </si>
  <si>
    <t>Signficant spills</t>
  </si>
  <si>
    <t xml:space="preserve">Environment - Environmental incidents  </t>
  </si>
  <si>
    <t>Environmental compliance</t>
  </si>
  <si>
    <t>4, 6, 8</t>
  </si>
  <si>
    <t>GRI 307-1</t>
  </si>
  <si>
    <t>Non-compliance with environmental laws and regulations</t>
  </si>
  <si>
    <t>Incidents of significant fines and compliance issues are detailed in the AIF.</t>
  </si>
  <si>
    <t>Employment</t>
  </si>
  <si>
    <t>1, 3, 5</t>
  </si>
  <si>
    <t>1, 2, 3, 6</t>
  </si>
  <si>
    <t>GRI 401-1</t>
  </si>
  <si>
    <t>New employee hires and employee turnover</t>
  </si>
  <si>
    <t>Turnover</t>
  </si>
  <si>
    <t>Labor / Management Relations</t>
  </si>
  <si>
    <t>Human rights - labor relations</t>
  </si>
  <si>
    <t>1, 3, 6</t>
  </si>
  <si>
    <t>GRI 402-1</t>
  </si>
  <si>
    <t>Minimum notice periods regarding operational changes</t>
  </si>
  <si>
    <t>MM</t>
  </si>
  <si>
    <t>Strikes and lockouts</t>
  </si>
  <si>
    <t>Occupational Health and Safety</t>
  </si>
  <si>
    <t>Health and safety</t>
  </si>
  <si>
    <t>4, 5</t>
  </si>
  <si>
    <t>GRI 403-8</t>
  </si>
  <si>
    <t>Workers covered by an occupational health and safety management system</t>
  </si>
  <si>
    <t>3, 8</t>
  </si>
  <si>
    <t>GRI 403-9</t>
  </si>
  <si>
    <t>Work-related injuries</t>
  </si>
  <si>
    <t>Health and safety - safety</t>
  </si>
  <si>
    <t>GRI 403-10</t>
  </si>
  <si>
    <t>Work-related ill health</t>
  </si>
  <si>
    <t>Training and education</t>
  </si>
  <si>
    <t>Labour relations - training our talent</t>
  </si>
  <si>
    <t>3, 6</t>
  </si>
  <si>
    <t>GRI 404-2</t>
  </si>
  <si>
    <t>Programs for upgrading employee skills and transition
assistance programs</t>
  </si>
  <si>
    <t>4, 8</t>
  </si>
  <si>
    <t>Diversity and equal opportunity</t>
  </si>
  <si>
    <t>Human rights - Diversity and inclusion</t>
  </si>
  <si>
    <t>1, 2, 6</t>
  </si>
  <si>
    <t>GRI 405-1</t>
  </si>
  <si>
    <t>Diversity of governance bodies and employes</t>
  </si>
  <si>
    <t>Freedom of association and collective bargaining</t>
  </si>
  <si>
    <t>Human rights - Labour relations</t>
  </si>
  <si>
    <t>1, 3</t>
  </si>
  <si>
    <t>1, 2, 3</t>
  </si>
  <si>
    <t>GRI 407-1</t>
  </si>
  <si>
    <t>Operations and suppliers in which the right to freedom
of association and collective bargaining may be at risk</t>
  </si>
  <si>
    <t>We did not identify any evidence of violations of the right to freedom of association and collective bargaining at any of the sites across the expanded group.</t>
  </si>
  <si>
    <t>Security Practices</t>
  </si>
  <si>
    <t>Human rights - Security</t>
  </si>
  <si>
    <t>1, 2</t>
  </si>
  <si>
    <t>GRI 410-1</t>
  </si>
  <si>
    <t>Security personnel trained in human rights policies or procedures</t>
  </si>
  <si>
    <t xml:space="preserve">In 2019, we trained more than 2,600 private security personnel and 1,200 public security personnel on the Voluntary Principles on Security and Human Rights. </t>
  </si>
  <si>
    <t>Rights of indigenous peoples</t>
  </si>
  <si>
    <t>Human rights - Indigenous Peoples</t>
  </si>
  <si>
    <t>1, 2, 3, 4, 9</t>
  </si>
  <si>
    <t>GRI 411-1</t>
  </si>
  <si>
    <t>Incidents of violations involving rights of indigenous peoples</t>
  </si>
  <si>
    <t xml:space="preserve">There were no significant incidents or violations of rights involving indigenous populations at our sites in 2019. </t>
  </si>
  <si>
    <t>Human rights assessments</t>
  </si>
  <si>
    <t>Human rights</t>
  </si>
  <si>
    <t>1, 3, 10</t>
  </si>
  <si>
    <t>GRI 412-1</t>
  </si>
  <si>
    <t>Operations that have been subject to human rights reviews
or impact assessments</t>
  </si>
  <si>
    <t xml:space="preserve">Human rights </t>
  </si>
  <si>
    <t>GRI 412-2</t>
  </si>
  <si>
    <t>Employee training on human rights policies or procedures</t>
  </si>
  <si>
    <t>Local communities</t>
  </si>
  <si>
    <t>Social and economic development - community engagement</t>
  </si>
  <si>
    <t>1, 2, 3, 4, 9, 10</t>
  </si>
  <si>
    <t>GRI 413-1</t>
  </si>
  <si>
    <t>Operations with local community engagement, impact assessments,
and development programs</t>
  </si>
  <si>
    <t>9, 10</t>
  </si>
  <si>
    <t>GRI 413-2</t>
  </si>
  <si>
    <t>Operations with significant actual and potential negative impacts on
local communities</t>
  </si>
  <si>
    <t>Supplier social assessment</t>
  </si>
  <si>
    <t>Social and economic development - supply chain</t>
  </si>
  <si>
    <t>3, 10</t>
  </si>
  <si>
    <t>GRI 414-1</t>
  </si>
  <si>
    <t>New suppliers that were screened using social criteria</t>
  </si>
  <si>
    <t>Public policy</t>
  </si>
  <si>
    <t>GRI 415-1</t>
  </si>
  <si>
    <t>Political contributions</t>
  </si>
  <si>
    <t>Doing business in an ethical manner - political contributions</t>
  </si>
  <si>
    <t>Our total political contributions in the US in 2019 were $20,000 made by Barrick and Nevada Gold Mines to Governor Sisolak (NV), and $22,500 via the Political Action Committee.</t>
  </si>
  <si>
    <t>Socio-economic compliance</t>
  </si>
  <si>
    <t>GRI 419-1</t>
  </si>
  <si>
    <t>Non-compliance with laws and regulations in the social
and economic area</t>
  </si>
  <si>
    <t>AIF</t>
  </si>
  <si>
    <t>Artisanal and small scale mining</t>
  </si>
  <si>
    <t>Social and economic development - community engagement - artisanal and small-scale mining</t>
  </si>
  <si>
    <t>GRI MM8</t>
  </si>
  <si>
    <t>Artisanal mining</t>
  </si>
  <si>
    <t>Resettlement</t>
  </si>
  <si>
    <t>Social and economic development - community engagement - resettlement</t>
  </si>
  <si>
    <t>GRI MM9</t>
  </si>
  <si>
    <t>Mine Closure</t>
  </si>
  <si>
    <t>Environment - mine closure</t>
  </si>
  <si>
    <t>Closure planning</t>
  </si>
  <si>
    <t>8, 9, 10</t>
  </si>
  <si>
    <t>Total Workforce Injuries</t>
  </si>
  <si>
    <t>Fatalities</t>
  </si>
  <si>
    <t>Fatality Rate</t>
  </si>
  <si>
    <t>Total Reportable Injuries</t>
  </si>
  <si>
    <t>Total Reportable Injury Frequency Rate</t>
  </si>
  <si>
    <t>Loss Time Injuries</t>
  </si>
  <si>
    <t>Loss Time Injury Frequency Rate</t>
  </si>
  <si>
    <t>Restricted Duty Injuries</t>
  </si>
  <si>
    <t>Restricted Duty Injury Frequency Rate</t>
  </si>
  <si>
    <t>Medical Treatment Injuries</t>
  </si>
  <si>
    <t>Medical Treatment Injury Frequency Rate</t>
  </si>
  <si>
    <t xml:space="preserve">Occupational Disease Cases </t>
  </si>
  <si>
    <t>Hours Worked</t>
  </si>
  <si>
    <t>Barrick</t>
  </si>
  <si>
    <t>Africa and Middle East</t>
  </si>
  <si>
    <t>Exploration</t>
  </si>
  <si>
    <t>Mali</t>
  </si>
  <si>
    <t>Loulo-Gounkoto</t>
  </si>
  <si>
    <t>Morila</t>
  </si>
  <si>
    <t>Cote d'Ivoire</t>
  </si>
  <si>
    <t>Tongon</t>
  </si>
  <si>
    <t>Democratic Republic of Congo</t>
  </si>
  <si>
    <t>Kibali</t>
  </si>
  <si>
    <t>Saudi Arabia</t>
  </si>
  <si>
    <t>Jabal Sayid</t>
  </si>
  <si>
    <t>Tanzania</t>
  </si>
  <si>
    <t>Bulyanhulu</t>
  </si>
  <si>
    <t>Buzwagi</t>
  </si>
  <si>
    <t>North Mara</t>
  </si>
  <si>
    <t>Zambia</t>
  </si>
  <si>
    <t>Lumwana</t>
  </si>
  <si>
    <t>Latin America and Asia Pacific</t>
  </si>
  <si>
    <t>Argentina</t>
  </si>
  <si>
    <t>Veladero</t>
  </si>
  <si>
    <t>Lama</t>
  </si>
  <si>
    <t>Other</t>
  </si>
  <si>
    <t>Chile</t>
  </si>
  <si>
    <t>Pascua</t>
  </si>
  <si>
    <t>Closure</t>
  </si>
  <si>
    <t>Domincan Republic</t>
  </si>
  <si>
    <t>Pueblo Viejo</t>
  </si>
  <si>
    <t>Peru</t>
  </si>
  <si>
    <t>Lagunas Norte</t>
  </si>
  <si>
    <t>Pierina</t>
  </si>
  <si>
    <t>Papua New Guinea</t>
  </si>
  <si>
    <t>Porgera</t>
  </si>
  <si>
    <t>North America</t>
  </si>
  <si>
    <t>Canada</t>
  </si>
  <si>
    <t>Hemlo</t>
  </si>
  <si>
    <t>United States of America</t>
  </si>
  <si>
    <t>Golden Sunlight</t>
  </si>
  <si>
    <t>Nevada Gold Mines</t>
  </si>
  <si>
    <t>Carlin North</t>
  </si>
  <si>
    <t>Carlin South</t>
  </si>
  <si>
    <t>Cortez</t>
  </si>
  <si>
    <t>Lone Tree</t>
  </si>
  <si>
    <t>Long Canyon</t>
  </si>
  <si>
    <t>Phoenix</t>
  </si>
  <si>
    <t>Turquoise Ridge</t>
  </si>
  <si>
    <t>Twin Creeks</t>
  </si>
  <si>
    <t>Western 102 Power Plant</t>
  </si>
  <si>
    <t>TS Power Plant</t>
  </si>
  <si>
    <t>Withdrawal</t>
  </si>
  <si>
    <t>Change in Storage</t>
  </si>
  <si>
    <t>Diversion</t>
  </si>
  <si>
    <t>Discharged</t>
  </si>
  <si>
    <t>Total Consumption</t>
  </si>
  <si>
    <t>Total Volume to Task</t>
  </si>
  <si>
    <t>Reused Volume of Water to Task</t>
  </si>
  <si>
    <t>Efficiency (%)</t>
  </si>
  <si>
    <t>Withdrawal Intensity 
(M3 / ounce of gold produced)</t>
  </si>
  <si>
    <t>Withdrawal Intensity 
(M3 / tonne ore processed)</t>
  </si>
  <si>
    <t>Consumption Intensity 
(M3/ ounce of gold produced)</t>
  </si>
  <si>
    <t>Consumption Intensity 
(M3/ tonne)</t>
  </si>
  <si>
    <t>Ounces of Gold Produced</t>
  </si>
  <si>
    <t>Pounds of Copper Produced</t>
  </si>
  <si>
    <t>Total Ore Processed</t>
  </si>
  <si>
    <t>Disclosure Metrics</t>
  </si>
  <si>
    <t>High Quality</t>
  </si>
  <si>
    <t>CHECK</t>
  </si>
  <si>
    <t>Total High Quality</t>
  </si>
  <si>
    <t>Low Quality</t>
  </si>
  <si>
    <t>Total Low Quality</t>
  </si>
  <si>
    <t>Total Withdrawal</t>
  </si>
  <si>
    <t>Total Discharge</t>
  </si>
  <si>
    <t>Consumption High Quality</t>
  </si>
  <si>
    <t>Consumption Low Quality</t>
  </si>
  <si>
    <t>Context</t>
  </si>
  <si>
    <t>Catchment Stress</t>
  </si>
  <si>
    <t>Site Risk</t>
  </si>
  <si>
    <t>Site Opportunity</t>
  </si>
  <si>
    <t>Cubic Metres</t>
  </si>
  <si>
    <t>Precipitation and Runoff</t>
  </si>
  <si>
    <t>Rivers and Streams</t>
  </si>
  <si>
    <t>External Surface Water Storages</t>
  </si>
  <si>
    <t>Aquifer Interception</t>
  </si>
  <si>
    <t xml:space="preserve">Bore Fields </t>
  </si>
  <si>
    <t>Entrainment</t>
  </si>
  <si>
    <t>Municipal</t>
  </si>
  <si>
    <t>Waste Water</t>
  </si>
  <si>
    <t>Andre's Total</t>
  </si>
  <si>
    <t>Differences</t>
  </si>
  <si>
    <t>Bore Fields</t>
  </si>
  <si>
    <t>Sea / Ocean</t>
  </si>
  <si>
    <t>Surface Water</t>
  </si>
  <si>
    <t>Environmental Flows</t>
  </si>
  <si>
    <t>Seepage</t>
  </si>
  <si>
    <t>Reinjection</t>
  </si>
  <si>
    <t>Estuary</t>
  </si>
  <si>
    <t>Sea</t>
  </si>
  <si>
    <t>Third Party Supply</t>
  </si>
  <si>
    <t>Evaporation</t>
  </si>
  <si>
    <t>Catchment</t>
  </si>
  <si>
    <t>Climate conditions</t>
  </si>
  <si>
    <t>Main operational activities</t>
  </si>
  <si>
    <t>Baseline catchment stress</t>
  </si>
  <si>
    <t>Assessment method</t>
  </si>
  <si>
    <t>Overall level</t>
  </si>
  <si>
    <t>Primary risk type</t>
  </si>
  <si>
    <t>Secondary risk type</t>
  </si>
  <si>
    <t>Main opportunity type</t>
  </si>
  <si>
    <t>Operations</t>
  </si>
  <si>
    <t>Operations in water stressed areas</t>
  </si>
  <si>
    <t xml:space="preserve">Faleme </t>
  </si>
  <si>
    <t>Semi-arid</t>
  </si>
  <si>
    <t>Ore Processing</t>
  </si>
  <si>
    <t>Tailings Management</t>
  </si>
  <si>
    <t>Dust suppression</t>
  </si>
  <si>
    <t>3. Moderate risk</t>
  </si>
  <si>
    <t>WWF Water Risk Filter</t>
  </si>
  <si>
    <t>2. Low risk</t>
  </si>
  <si>
    <t>Physical</t>
  </si>
  <si>
    <t>Reputational</t>
  </si>
  <si>
    <t>Company Specific</t>
  </si>
  <si>
    <t>4. High</t>
  </si>
  <si>
    <t>Operational</t>
  </si>
  <si>
    <t>Bagoe</t>
  </si>
  <si>
    <t>Arid or semi-arid environment</t>
  </si>
  <si>
    <t>Reprocessing TSF</t>
  </si>
  <si>
    <t>Ore processing</t>
  </si>
  <si>
    <t>Regulatory</t>
  </si>
  <si>
    <t>2. Low</t>
  </si>
  <si>
    <t>Bandama</t>
  </si>
  <si>
    <t>Moderate precipitation with distinct dry season</t>
  </si>
  <si>
    <t>Dewatering</t>
  </si>
  <si>
    <t>Tailings management</t>
  </si>
  <si>
    <t>3. Moderate</t>
  </si>
  <si>
    <t>Congo</t>
  </si>
  <si>
    <t>Very high precipitation and/or frequent major storm events</t>
  </si>
  <si>
    <t>Stormwater management</t>
  </si>
  <si>
    <t>1. Very low risk</t>
  </si>
  <si>
    <t xml:space="preserve">Operational </t>
  </si>
  <si>
    <t>Jabal Sayid*</t>
  </si>
  <si>
    <t>None</t>
  </si>
  <si>
    <t>Arid</t>
  </si>
  <si>
    <t>Dust Suppression</t>
  </si>
  <si>
    <t>5. Very high risk</t>
  </si>
  <si>
    <t>Lake Victoria</t>
  </si>
  <si>
    <t>Moderate precipiation with distinct dry season</t>
  </si>
  <si>
    <t>Zambezi</t>
  </si>
  <si>
    <t>2. Low Risk</t>
  </si>
  <si>
    <t>Company specific</t>
  </si>
  <si>
    <t>Taguas River Basin</t>
  </si>
  <si>
    <t>Moderate Precipitation with distinct dry season</t>
  </si>
  <si>
    <t>Dust Suppresion</t>
  </si>
  <si>
    <t>Ore Seperation</t>
  </si>
  <si>
    <t>4. High Risk</t>
  </si>
  <si>
    <t>Company Specfic</t>
  </si>
  <si>
    <t>Margajita River</t>
  </si>
  <si>
    <t>Water treatment</t>
  </si>
  <si>
    <t>NA</t>
  </si>
  <si>
    <t>Chicama River / Amazonas River</t>
  </si>
  <si>
    <t>Pierina*</t>
  </si>
  <si>
    <t>Santa River</t>
  </si>
  <si>
    <t>4. High risk</t>
  </si>
  <si>
    <t>Porgera - Lagaip - Strickalne - Fly</t>
  </si>
  <si>
    <t>Discharge</t>
  </si>
  <si>
    <t>Formal risk assessment performed on water</t>
  </si>
  <si>
    <t>St. Lawrence</t>
  </si>
  <si>
    <t>Moderate Precipitation</t>
  </si>
  <si>
    <t>Water Treatment</t>
  </si>
  <si>
    <t>Eskay Creek</t>
  </si>
  <si>
    <t>Giant Nickel</t>
  </si>
  <si>
    <t>Nickel Plate</t>
  </si>
  <si>
    <t>Jefferson</t>
  </si>
  <si>
    <t>Water storage</t>
  </si>
  <si>
    <t>Access to water</t>
  </si>
  <si>
    <t>Company</t>
  </si>
  <si>
    <t>3. Medium</t>
  </si>
  <si>
    <t>Irrigation</t>
  </si>
  <si>
    <t>Homestake / Lead</t>
  </si>
  <si>
    <t>Richmond Hill</t>
  </si>
  <si>
    <t>Grants</t>
  </si>
  <si>
    <t>McLaughlin</t>
  </si>
  <si>
    <t>Pitch</t>
  </si>
  <si>
    <t>CHRP</t>
  </si>
  <si>
    <t>Mercur</t>
  </si>
  <si>
    <t xml:space="preserve">Carlin </t>
  </si>
  <si>
    <t>Humboldt River</t>
  </si>
  <si>
    <t>Cortez*</t>
  </si>
  <si>
    <t>Lone Tree*</t>
  </si>
  <si>
    <t>Central region</t>
  </si>
  <si>
    <t>Long Canyon*</t>
  </si>
  <si>
    <t>Phoenix*</t>
  </si>
  <si>
    <t>Humboldt River and Central Region</t>
  </si>
  <si>
    <t>Turquoise Ridge and Twin Creeks</t>
  </si>
  <si>
    <t>Western 102 Power Plant*</t>
  </si>
  <si>
    <t>TS Power Plant*</t>
  </si>
  <si>
    <t>Notes:</t>
  </si>
  <si>
    <t xml:space="preserve">Lumwana and Jabal Sayid are copper mines and, as such, their water intensity metrics are not directly comparable to Barrick's other properties. Data for these properties are provided per thousand pounds of copper. The total water intensities for Barrick per ounce of gold produced does not include water use from the copper mines.
</t>
  </si>
  <si>
    <t>Withdrawal Intensity 
(ML / ounce of gold produced)</t>
  </si>
  <si>
    <t>Withdrawal Intensity 
(ML / tonne ore processed)</t>
  </si>
  <si>
    <t>Consumption Intensity 
(ML/ ounce of gold produced)</t>
  </si>
  <si>
    <t>Consumption Intensity 
(ML/ tonne)</t>
  </si>
  <si>
    <t>ML</t>
  </si>
  <si>
    <t>Greenhouse Gas Emissions (CO2e)</t>
  </si>
  <si>
    <t>Energy Use (GJ)</t>
  </si>
  <si>
    <t>Production Statistics</t>
  </si>
  <si>
    <t>Scope 1</t>
  </si>
  <si>
    <t>Scope 2 - Location Based</t>
  </si>
  <si>
    <t>Scope 2 - Market Based</t>
  </si>
  <si>
    <t>Total Emissions (Market Based)</t>
  </si>
  <si>
    <t>Scope 3</t>
  </si>
  <si>
    <t>Tonnes CO2e / Ounce of Gold Produced</t>
  </si>
  <si>
    <t>Tonnes CO2e / Tonne of Ore Processed</t>
  </si>
  <si>
    <t>Renewable Electricity Use</t>
  </si>
  <si>
    <t>Renewable Fuel Use</t>
  </si>
  <si>
    <t>Non-Renewable Electricity Use</t>
  </si>
  <si>
    <t>Non-Renewable Fuel Use</t>
  </si>
  <si>
    <t>Total Energy Use</t>
  </si>
  <si>
    <t>Percentage renewable energy</t>
  </si>
  <si>
    <t>GJ / Ounce of Gold Produced</t>
  </si>
  <si>
    <t>GJ / Tonne of Ore Processed</t>
  </si>
  <si>
    <t>Corporate Jet</t>
  </si>
  <si>
    <t>Carlin North*</t>
  </si>
  <si>
    <t>Twin Creeks *</t>
  </si>
  <si>
    <t>Turquoise Ridge and Twin Creeks*</t>
  </si>
  <si>
    <t>Democratic Republic of Congon</t>
  </si>
  <si>
    <t>Office / Other</t>
  </si>
  <si>
    <t>Carlin</t>
  </si>
  <si>
    <t>-</t>
  </si>
  <si>
    <t xml:space="preserve">Lumwana and Jabal Sayid are copper mines and, as such, their GHG intensity metrics are not directly comparable to Barrick's other properties. Data for these properties are provided per thousand pounds of copper. The total GHG intensity for Barrick per ounce of gold produced does not include emissions from the copper mines.
</t>
  </si>
  <si>
    <t>Environmental Incidents</t>
  </si>
  <si>
    <t>Non-Compliances</t>
  </si>
  <si>
    <t>Spills</t>
  </si>
  <si>
    <t xml:space="preserve">Class I </t>
  </si>
  <si>
    <t>Class II</t>
  </si>
  <si>
    <t>Incidents Involving Cyanide</t>
  </si>
  <si>
    <t>Non-compliances</t>
  </si>
  <si>
    <t>Air</t>
  </si>
  <si>
    <t>Water</t>
  </si>
  <si>
    <t>Land</t>
  </si>
  <si>
    <t>Wildlife</t>
  </si>
  <si>
    <t>Environment-related fines</t>
  </si>
  <si>
    <t>Value of environmental-related fines</t>
  </si>
  <si>
    <t>Number of Spills</t>
  </si>
  <si>
    <t>Total Volume of Spills</t>
  </si>
  <si>
    <t>Volume of oil spills</t>
  </si>
  <si>
    <t>Volume of fuel spills</t>
  </si>
  <si>
    <t>Volume of waste spills</t>
  </si>
  <si>
    <t>Volume of chemical spills</t>
  </si>
  <si>
    <t>Volume of other types of spills</t>
  </si>
  <si>
    <t>Workforce</t>
  </si>
  <si>
    <t>Local Employment</t>
  </si>
  <si>
    <t>Employees</t>
  </si>
  <si>
    <t>Contractors</t>
  </si>
  <si>
    <t>Senior Site Management</t>
  </si>
  <si>
    <t>Total Employees</t>
  </si>
  <si>
    <t>Male Employees</t>
  </si>
  <si>
    <t>Female Employees</t>
  </si>
  <si>
    <t>Total Contractors</t>
  </si>
  <si>
    <t>Male Contractors</t>
  </si>
  <si>
    <t>Female Contractors</t>
  </si>
  <si>
    <t>Local</t>
  </si>
  <si>
    <t xml:space="preserve">Regional </t>
  </si>
  <si>
    <t xml:space="preserve">National </t>
  </si>
  <si>
    <t xml:space="preserve">Foreign National </t>
  </si>
  <si>
    <t>Local Contractors</t>
  </si>
  <si>
    <t>Regional Contractors</t>
  </si>
  <si>
    <t>National Contractors</t>
  </si>
  <si>
    <t>Foreign National Contractors</t>
  </si>
  <si>
    <t>Number of suppliers with clauses in contracts related to local employment</t>
  </si>
  <si>
    <t>Percentage of open positions filled by internal candidates</t>
  </si>
  <si>
    <t>Total number of employees who left the organization voluntarily</t>
  </si>
  <si>
    <t xml:space="preserve">Total number of employees who left the organization due to dismissal </t>
  </si>
  <si>
    <t>Total number of new employee hires</t>
  </si>
  <si>
    <t>Gender</t>
  </si>
  <si>
    <t>Number of non-management employees who are female</t>
  </si>
  <si>
    <t>Number of management-level employees who are female</t>
  </si>
  <si>
    <t>Number of senior managers who are female</t>
  </si>
  <si>
    <t>Labour Unions</t>
  </si>
  <si>
    <t>Number of employees covered by collective bargaining agreements</t>
  </si>
  <si>
    <t xml:space="preserve">Days lost to strike action </t>
  </si>
  <si>
    <t>Training</t>
  </si>
  <si>
    <t>Total hours of training for employees</t>
  </si>
  <si>
    <t>Hours of health, safety, and emergency response training for employees</t>
  </si>
  <si>
    <t>Hours of health, safety, and emergency response training for contractors</t>
  </si>
  <si>
    <t>Office / other</t>
  </si>
  <si>
    <t>Turquoise Ridge / Twin Creeks</t>
  </si>
  <si>
    <t>Economic Value Generated</t>
  </si>
  <si>
    <t xml:space="preserve">Revenue </t>
  </si>
  <si>
    <t>Interest received</t>
  </si>
  <si>
    <t>Royalties received</t>
  </si>
  <si>
    <t>Profit from sale of assets</t>
  </si>
  <si>
    <t xml:space="preserve">Other income </t>
  </si>
  <si>
    <t>Total economic value generated</t>
  </si>
  <si>
    <t>Economic Value Distributed</t>
  </si>
  <si>
    <t>Payments to Employees</t>
  </si>
  <si>
    <t>Payments to Governments</t>
  </si>
  <si>
    <t>Sales and Value Added Tax</t>
  </si>
  <si>
    <t xml:space="preserve">Royalties paid to Governments </t>
  </si>
  <si>
    <t>Other taxes</t>
  </si>
  <si>
    <t>Income taxes</t>
  </si>
  <si>
    <t>Payments to Communities</t>
  </si>
  <si>
    <t xml:space="preserve">Community Development </t>
  </si>
  <si>
    <t>Health</t>
  </si>
  <si>
    <t>Education</t>
  </si>
  <si>
    <t>Arts, Culture &amp; Sports</t>
  </si>
  <si>
    <t>Environment</t>
  </si>
  <si>
    <t>Economic Development</t>
  </si>
  <si>
    <t>Infrastructure</t>
  </si>
  <si>
    <t>Water Infrastructure</t>
  </si>
  <si>
    <t>Community Engagement</t>
  </si>
  <si>
    <t xml:space="preserve">Compensation Payments </t>
  </si>
  <si>
    <t>Payments to local communities as part of land use agreements</t>
  </si>
  <si>
    <t>Operating costs</t>
  </si>
  <si>
    <t>Regional</t>
  </si>
  <si>
    <t>National</t>
  </si>
  <si>
    <t>Out-of-country</t>
  </si>
  <si>
    <t>Number of local suppliers</t>
  </si>
  <si>
    <t>Number of regional suppliers</t>
  </si>
  <si>
    <t>Number of national suppliers</t>
  </si>
  <si>
    <t>Number of international suppliers</t>
  </si>
  <si>
    <t>Payments to providers of capital</t>
  </si>
  <si>
    <t>Other Payments</t>
  </si>
  <si>
    <t>Royalties paid to third-parties</t>
  </si>
  <si>
    <t>Total economic value distributed</t>
  </si>
  <si>
    <t>Total economic value distributed in-country</t>
  </si>
  <si>
    <t>Economic value retained by Barrick</t>
  </si>
  <si>
    <t>Direct economic value retained in country</t>
  </si>
  <si>
    <t>Effective tax rate</t>
  </si>
  <si>
    <t xml:space="preserve">Tier 1 (critical suppliers) certified to OHS 14001 </t>
  </si>
  <si>
    <t xml:space="preserve">Tier 1 (critical suppliers) certified to ISO 14001 </t>
  </si>
  <si>
    <t>Number of vendors onboarded</t>
  </si>
  <si>
    <t>Percentage of suppliers who have undergone onboarding</t>
  </si>
  <si>
    <t>Formal supplier audits conducted</t>
  </si>
  <si>
    <t>Corrective action plans not on track</t>
  </si>
  <si>
    <t>Waste Rock Deposited</t>
  </si>
  <si>
    <t>Tailings produced</t>
  </si>
  <si>
    <t>Total Mine Waste</t>
  </si>
  <si>
    <t>Waste that is geochemically reactive</t>
  </si>
  <si>
    <t>Percent of waste that is geochemically reactive</t>
  </si>
  <si>
    <t>Cyanide Used</t>
  </si>
  <si>
    <t>Hazardous waste produced</t>
  </si>
  <si>
    <t>Mercury produced as a by-product/co-product</t>
  </si>
  <si>
    <t>Non-hazardous waste produced</t>
  </si>
  <si>
    <t>Waste recycled</t>
  </si>
  <si>
    <t>Goldstart</t>
  </si>
  <si>
    <t>Goldstrike/Arturo</t>
  </si>
  <si>
    <t>TR</t>
  </si>
  <si>
    <t>Phoenx</t>
  </si>
  <si>
    <t>Goldstrike</t>
  </si>
  <si>
    <t>Carlin (Q1+Q2)</t>
  </si>
  <si>
    <t>Carlin (Q3+Q4)</t>
  </si>
  <si>
    <t>Twin Creeks (Q1+Q2)</t>
  </si>
  <si>
    <t>Twin Creeks (Q3+Q4)</t>
  </si>
  <si>
    <t>Long Canyon (Q1+Q2)</t>
  </si>
  <si>
    <t>Long Canyon (Q3+Q4)</t>
  </si>
  <si>
    <t>Lone Tree (Q1+Q2</t>
  </si>
  <si>
    <t>Lone Tree (Q2+Q3)</t>
  </si>
  <si>
    <t>Phoenix (Q1+Q2)</t>
  </si>
  <si>
    <t>Phoenix (Q3+Q4)</t>
  </si>
  <si>
    <t>Total land disturbed and not yet rehabilitated at start of reporting period (A)</t>
  </si>
  <si>
    <t>Total amount of land newly disturbed within reporting period (B)</t>
  </si>
  <si>
    <t>Total amount of land newly rehabilitated within reporting period (C )</t>
  </si>
  <si>
    <t>Total land disturbed and not yet rehabilitated at end of reporting period (D=A+B-C)</t>
  </si>
  <si>
    <t>metric tonnes</t>
  </si>
  <si>
    <t xml:space="preserve">Nitogen oxides (NOx) air emissions </t>
  </si>
  <si>
    <t>Sulfur dioxide (SO2) air emissions</t>
  </si>
  <si>
    <t>Particulate (PM10) air emissions</t>
  </si>
  <si>
    <t>Mercury air emissions</t>
  </si>
  <si>
    <t>Power plants</t>
  </si>
  <si>
    <t>Turquoise Ridge - Twin Creeks</t>
  </si>
  <si>
    <t>Lone tree</t>
  </si>
  <si>
    <t>El Indio</t>
  </si>
  <si>
    <t>Libertador project</t>
  </si>
  <si>
    <t>Corporate</t>
  </si>
  <si>
    <t>Additional/ other payments</t>
  </si>
  <si>
    <t>Dividend payments to governments</t>
  </si>
  <si>
    <t>Other taxes paid including VAT and GST</t>
  </si>
  <si>
    <t>Taxes Witheld from Other Parties</t>
  </si>
  <si>
    <t>Total payments to govt</t>
  </si>
  <si>
    <t>Value created</t>
  </si>
  <si>
    <t>Other payments</t>
  </si>
  <si>
    <t>Payments to communities</t>
  </si>
  <si>
    <t>Environment - Closure</t>
  </si>
  <si>
    <t>GRI</t>
  </si>
  <si>
    <t>Our Approach - Resettlement</t>
  </si>
  <si>
    <t>Our Approach - Resettlement - Artisanal and Small-scale Mining</t>
  </si>
  <si>
    <t>Social and Economic Development - Sharing the Benefits</t>
  </si>
  <si>
    <t>In 2021, our only political contributions were made in the United States. Total political contributions in the United States made by Barrick in 2021 were $23,500 made via the Barrick USA Employees PAC.</t>
  </si>
  <si>
    <t>Our Approach - Political Contributions</t>
  </si>
  <si>
    <t>Social and Economic Development - Supply Chain - Managing Supply Chain Risk</t>
  </si>
  <si>
    <t>Social and Economic Development - Supply Chain</t>
  </si>
  <si>
    <t>Social and Economic Development - The Primacy of Partnership</t>
  </si>
  <si>
    <t>Operations with significant actual and potential negative impacts on local communities</t>
  </si>
  <si>
    <t xml:space="preserve">Social and Economic Development </t>
  </si>
  <si>
    <t>Human Rights - Management Approach</t>
  </si>
  <si>
    <t>Discussion of engagement processses and due diligence processes with respect to human rights, indigenous peoples, and operation in areas of conflict</t>
  </si>
  <si>
    <t>EMM-MM-210a.3</t>
  </si>
  <si>
    <t>Security, Human rights &amp; rights of indigenous peoples</t>
  </si>
  <si>
    <t>SASB</t>
  </si>
  <si>
    <t>Human Rights - Our Indigenous Partners</t>
  </si>
  <si>
    <t>Percentage of (1) proved, and (2) probable  reserves in or near indigenous lands</t>
  </si>
  <si>
    <t>EMM-MM-210a.2</t>
  </si>
  <si>
    <r>
      <t xml:space="preserve">See Barrick's </t>
    </r>
    <r>
      <rPr>
        <sz val="10"/>
        <color theme="4"/>
        <rFont val="Arial"/>
        <family val="2"/>
      </rPr>
      <t>Conflict-Free</t>
    </r>
    <r>
      <rPr>
        <sz val="10"/>
        <rFont val="Arial"/>
        <family val="2"/>
      </rPr>
      <t xml:space="preserve"> gold report for discussion of assets in or near areas of conflict.</t>
    </r>
  </si>
  <si>
    <t>Conflict Free Gold Report</t>
  </si>
  <si>
    <t>Percentage of (1) proved, and (2) probable reserves in or near areas of conflict</t>
  </si>
  <si>
    <t>EMM-MM-210a.1</t>
  </si>
  <si>
    <t>Human Rights - Our Approach in Practice</t>
  </si>
  <si>
    <r>
      <rPr>
        <sz val="10"/>
        <color theme="4"/>
        <rFont val="Arial"/>
        <family val="2"/>
      </rPr>
      <t>In 2021,</t>
    </r>
    <r>
      <rPr>
        <sz val="10"/>
        <rFont val="Arial"/>
        <family val="2"/>
      </rPr>
      <t xml:space="preserve"> we carried out independent human rights assessments at our Kibali, Loulo-Gounkoto, and Pueblo Viejo mines. </t>
    </r>
  </si>
  <si>
    <t>Operations that have been subject to human rights reviews or impact assessments</t>
  </si>
  <si>
    <t>Our mines conduct human rights assessments on at least a two-year cycle. In the first year, every operational mine conducts a self-assessment to evaluate the actual, potential and perceived human rights risks and impacts of the operation.</t>
  </si>
  <si>
    <t>Human Rights - Our Approach in Practice &amp; Security</t>
  </si>
  <si>
    <t xml:space="preserve">There were no significant incidents or violations of rights involving indigenous populations at our sites in 2021. </t>
  </si>
  <si>
    <t xml:space="preserve">In 2021, we trained 2,269 private and public security personnel on the Voluntary Principles on Security and Human Rights. </t>
  </si>
  <si>
    <t>Human Rights - Security</t>
  </si>
  <si>
    <t>Human Rights - Building Strong Labour Relations</t>
  </si>
  <si>
    <t>Operations and suppliers in which the right to freedom of association and collective bargaining may be at risk</t>
  </si>
  <si>
    <t>Human Rights - Diversity, Equity and Inclusion</t>
  </si>
  <si>
    <t>Human Rights - Training and Engagement</t>
  </si>
  <si>
    <t>Programs for upgrading employee skills and transition assistance programs</t>
  </si>
  <si>
    <t>Health and Safety - Occupational Health</t>
  </si>
  <si>
    <t>(1) MSHA all incidence rate, (2) fatality rate, (3) Near miss frequency rate, and (4) erage number of hours of health &amp; safety, and emergency response training for (a) full time workers, (2) contractors</t>
  </si>
  <si>
    <t>EM-MM-320a.1</t>
  </si>
  <si>
    <t>Workforce health and safety</t>
  </si>
  <si>
    <t>Health and Safety - Occupational Health - Our Approach to OHS</t>
  </si>
  <si>
    <t>Number and duration of strikes and lockouts</t>
  </si>
  <si>
    <t>EM-MM-310a.2</t>
  </si>
  <si>
    <t>Labour relations</t>
  </si>
  <si>
    <t>Approximately 43% of our employees are union members or have collective bargaining agreements in place.</t>
  </si>
  <si>
    <t>Percentage of active workforce undercollective bargaining agreements, broke down by US and foreign nationals</t>
  </si>
  <si>
    <t>EM-MM-310a.1</t>
  </si>
  <si>
    <t>3,10</t>
  </si>
  <si>
    <t xml:space="preserve">Environment - Responsible Environmental Stewards - Environmental incidents  </t>
  </si>
  <si>
    <t>Environment - Responsible Environmental Stewards</t>
  </si>
  <si>
    <t>Environment - Waste Management - Responsible Tailings Management and Dam Safety &amp; Tailings Storage Facilities</t>
  </si>
  <si>
    <t>Number of tailings impoundments broken down by MSHA hazard potential</t>
  </si>
  <si>
    <t>EM-MM-150a.3</t>
  </si>
  <si>
    <t>Waste &amp; Hazardous materials management</t>
  </si>
  <si>
    <t>Full data set for mineral processing waste found in the attached data sheets</t>
  </si>
  <si>
    <t>Environment - Waste Management - Performance</t>
  </si>
  <si>
    <t>Total weight of mineral processing waste, percent reycled</t>
  </si>
  <si>
    <t>EM-MM-150a.2</t>
  </si>
  <si>
    <t xml:space="preserve">Full data set for tailings weight found in the attached data sheets.  </t>
  </si>
  <si>
    <t>Total weight of tailings waste, percent recycled</t>
  </si>
  <si>
    <t>EM-MM-150a.1</t>
  </si>
  <si>
    <t>Full data set found in the attached data sheets</t>
  </si>
  <si>
    <t>Environment - Responsible Environmental Stewards - Environmental incidents</t>
  </si>
  <si>
    <t>Environment - Waste Management</t>
  </si>
  <si>
    <t>Environment - Climate Risk and Resilience - Roadmap to Net Zero</t>
  </si>
  <si>
    <t>Discussion of long-term and short-term strategy or plan to manage scope 1 emissions, emissions reduction target and analysis of performance against those targets</t>
  </si>
  <si>
    <t>EM-MM-110a.2</t>
  </si>
  <si>
    <t>Environment - Climate Risk and Resilience</t>
  </si>
  <si>
    <t>Gross global scope 1 emissions, percentage covered under emissions limiting regulation</t>
  </si>
  <si>
    <t>EM-MM-110a.1</t>
  </si>
  <si>
    <t xml:space="preserve">Full data set found in the attached data sheets. Greenhouse gas intensity includes Scope 1 and Scope 2 - Market emissions. Tonnes of ore processed and ounces of gold produced are included at a 100% basis. </t>
  </si>
  <si>
    <t>Emissions are calculated using appropriate factors. Emissions include CO2, CH4, N2O. Only material categories included.</t>
  </si>
  <si>
    <t>Scope 3 GHG Emissions</t>
  </si>
  <si>
    <t>Full data set found in the attached data sheets. Emissions are calculated using applicable state-or province-specific location factors or IEA country-factors where these are unavailable. NGM includes Market Based factors.</t>
  </si>
  <si>
    <t>Scope 2 Location and Market</t>
  </si>
  <si>
    <t>Full data set found in the attached data sheets. Emissions include CO2, CH4, N2O. 
PFCs, SF6 and NF3 are not reported as they are not material sources of emissions. Emissions are calculated using volumes of fuel  consumed and applicable Greenhouse Gas Protocol factors.</t>
  </si>
  <si>
    <t>See GRI304-1 for sites adjacent to protected areas and areas of high biodiversity value</t>
  </si>
  <si>
    <t>Percentage of (1) proved, and (2) probable reserves in or near sites with protected conservation status or endangered species habitat</t>
  </si>
  <si>
    <t>EM-MM-160a.3</t>
  </si>
  <si>
    <t>Percentage of mine waste that is acid generating is reported at group, regional and site level in attached data tables.</t>
  </si>
  <si>
    <t>Percentage of mine sites where acid rock drainage (ARD) is: (1) predicted to occur, (2) actively mitigated, and (3) under treatment or remediation</t>
  </si>
  <si>
    <t>EM-MM-160a.2</t>
  </si>
  <si>
    <t>Environment - Biodiversity &amp; Closure - Management Approach</t>
  </si>
  <si>
    <t>Description of environmental management policies and practices for active sites</t>
  </si>
  <si>
    <t>EM-MM-160a.1</t>
  </si>
  <si>
    <t xml:space="preserve">Full data set found in the attached data sheets. </t>
  </si>
  <si>
    <t>Environment - Biodiversity &amp; Closure - Land Disturbed/Rehabilitated</t>
  </si>
  <si>
    <t>The following are near protected areas: Alturas (within 15km of the San Guillermo Man and Biosphere Reserve), Hemlo (10-15km from White Lake Provincial Park (IUCN Cat II), Lama, Veladero (both are in the multi-use area of San Guillermo Man and Biosphere Reserve. The nucleus of the Reserve is also an IUCN Cat II Protected Area), Lumwana (within 10 km of the Acres Forest Reserve (IUCN unclassified Protected Area)), Pierina (5-10km from the Huascaran National Park, declared in 2009), Pueblo Viejo (Infrastructure crosses Aniana Vargas National Park - declared in 2009), Turquoise Ridge (Between 5-10km from the Osgood Mountain Milkvetch Habitat (IUCN Cat V), North Mara (within 25km of the Serengeti National Park (IUCN Cat II)).  
The following are in areas of high biodiversity value: Lama, Veladero (both are within a Key Biodiversity Area), Pierina (within a Biodiversity Hotspot Endemic Bird Area), Lumwana (within a High Biodiversity Wilderness Area), Pueblo Viejo (within a Biodiversity Hotspot and Endemic Bird Area), Porgera (within an Endemic Bird Area).</t>
  </si>
  <si>
    <t xml:space="preserve">Data tables </t>
  </si>
  <si>
    <t xml:space="preserve">Fully </t>
  </si>
  <si>
    <t>Number of incidents of non-compliance associated with water quality permits, standards and regulations</t>
  </si>
  <si>
    <t>EM-MM-140a.2</t>
  </si>
  <si>
    <t>Water management</t>
  </si>
  <si>
    <t>Full data set found in the attached data sheets. Data has been compiled based on the ICMM Water Accounting Framework.
Water consumed during 2021 is 85,285ML.</t>
  </si>
  <si>
    <t>Environment - Water Management - Our Water Circuit</t>
  </si>
  <si>
    <t>Full data set found in the attached data sheets. Data has been compiled based on the ICMM Water Accounting Framework.
In 2021, we discharged 81,346ML, 84% of which was to surface water such as rivers and streams. The bulk of the water we discharge is at our sites with high rainfall.</t>
  </si>
  <si>
    <t>Environment - Water Management - Our Performance</t>
  </si>
  <si>
    <t xml:space="preserve">Full data set found in the attached data sheets. Data has been compiled in accordance with the ICMM Water Accounting Framework.
Our total water withdrawal in 2021 was 171,892ML </t>
  </si>
  <si>
    <t>Environment - Water Management</t>
  </si>
  <si>
    <t>(1) Total energy consumed, (2) percentage grid energy, (3) percentage renewable</t>
  </si>
  <si>
    <t>EM-MM-130a.1</t>
  </si>
  <si>
    <t>Energy Management</t>
  </si>
  <si>
    <t>Environment - Cyanide Controls</t>
  </si>
  <si>
    <t>Environment - Mercury Management &amp; Cyanide Controls</t>
  </si>
  <si>
    <t>Barrick has operations in the Democratic Republic of Congo which is one of the ten lowest ranked countries on Transparency International's Corruption perception index.  Production for Kibali in 2021 on a 100% basis was 808,000 ounces of gold.</t>
  </si>
  <si>
    <t>GRI Content index</t>
  </si>
  <si>
    <t>Production in countries that have the 20 lowest rankings in Transparency International's Corruption percpetion index</t>
  </si>
  <si>
    <t>EMM-MM-510a.2</t>
  </si>
  <si>
    <t xml:space="preserve">Business ethics and transparency </t>
  </si>
  <si>
    <t>Our Approach - Business Integrity and Ethics - Doing Business in an Ethical Manner</t>
  </si>
  <si>
    <t>Description of management system for prevention of corruption and briberiy through out the value chain</t>
  </si>
  <si>
    <t>EMM-MM-510a.1</t>
  </si>
  <si>
    <t xml:space="preserve">We train all new employees on the Code of Business Conduct and Ethics during onboarding. Certain identified employees, such as country executive directors or community relations officers who may have interaction with governments and the local community, receive enhanced live training.  All full time employees are required to undergo an online annual refresher training with a goal of over 90% completion. In 2021, the global completion rate was 100%. In addition, at least 90% of Barrick’s government-exposed employees received live training. Meeting the 90% target is part of the annual executive remuneration scorecard. </t>
  </si>
  <si>
    <t xml:space="preserve">Our Approach - Business Integrity and Ethics </t>
  </si>
  <si>
    <t>Communication and training about anti-corruption policies and procedures</t>
  </si>
  <si>
    <t>We conducted several anti-corruption risk assessments at our operations and used the results of these assessments to improve and update the Business Integrity and Ethics program. In 2021, we performed third party risk assessments at the Pueblo Viejo mine and our Tanzanian operations with specific emphasis on the North Mara mine. While there were no material findings from these risk assessments, the results and lesson learned form an action plan for these sites and opportunities for improvement are incorporated into our processes.</t>
  </si>
  <si>
    <t>Our Approach - Business Integrity and Ethics - Progress in 2021</t>
  </si>
  <si>
    <t>2021 Annual report</t>
  </si>
  <si>
    <t>Direct economic value genreated and distributed</t>
  </si>
  <si>
    <t>Data used in the Sustainability Report has been assured by an independent external assurer, Apex Companies LLC. The assurance statement is available online</t>
  </si>
  <si>
    <t>Introduction - About this Report</t>
  </si>
  <si>
    <t>Annually</t>
  </si>
  <si>
    <t>1 January 2021 to 31 December 2021</t>
  </si>
  <si>
    <t>Barrick restated its historical data following changes to the methodology to capture a wider scope of industrial emissions, updated conversion factors, and to include emissions from smaller contributors (such as gasoline). Certain joint venture properties were also not included in Barrick’s previous reporting.</t>
  </si>
  <si>
    <t>Our Approach - Materiality Assessment</t>
  </si>
  <si>
    <t>Our Approach - Stakeholder Engagement</t>
  </si>
  <si>
    <t>2021 Information Circular</t>
  </si>
  <si>
    <t>Introduction - Integrating ESG into our Incentive Compensation; 2021 Information Circular</t>
  </si>
  <si>
    <t>2020 Information Circular</t>
  </si>
  <si>
    <t>Our Approach - Governance of Sustainability &amp; Stakeholder engagement</t>
  </si>
  <si>
    <t>Our Approach - Governance of Sustainability</t>
  </si>
  <si>
    <t>Our Approach - Business Integrity and Ethics - Doing business in an ethical manner</t>
  </si>
  <si>
    <t>Our Approach - Business Integrity and Ethics</t>
  </si>
  <si>
    <t>Our Approach</t>
  </si>
  <si>
    <t>Introduction - Mark Bristow: Mining Sustainably for a Better Future</t>
  </si>
  <si>
    <t>Barrick holds membership of the following national associations: Cámara Argentina de Empresarios Mineros, Cámara Minera de San Juan (Argentina), Cámara Minera y Petrolera de la República Dominicana, Consejo Minero (Chile), Chamber of Mines (Zambia), Chamber of Mines of DRC, Grouprement des Professionels des Mines de la Cote d’Ivoire (GPMCI), Chamber of Mines of Senegal, Groupement des Professionels du Secteur Minier du Mali (GPSMM), Mining Association of Canada, Nevada Mining Association, Prospectors and Developers Association of Canada, Sociedad Nacional de Mineria (Chile), Sociedad Nacional de Mineria, Petroleo y Energia (Peru).  It also holds member of the following international associations:  International Council on Mining and Metals (ICMM), the UN Global Company and International Cyanide Management Institute (ICMI) and the World Gold Council.</t>
  </si>
  <si>
    <t>Our Business at a Glance: Managing our Business Sustainably</t>
  </si>
  <si>
    <t>Introduction - Mark Bristow: Mining Sustainably for a Better Future; About this Report; 2021 Annual Information Form</t>
  </si>
  <si>
    <t>Social and Economic Development -  Supply Chain</t>
  </si>
  <si>
    <r>
      <rPr>
        <b/>
        <sz val="10"/>
        <rFont val="Arial"/>
        <family val="2"/>
      </rPr>
      <t>Quantity of Products:</t>
    </r>
    <r>
      <rPr>
        <sz val="10"/>
        <rFont val="Arial"/>
        <family val="2"/>
      </rPr>
      <t xml:space="preserve"> In 2021 on an attributable basis, Barrick’s gold production was 4.437 million ounces and copper production was 415 million pounds of copper.</t>
    </r>
  </si>
  <si>
    <r>
      <rPr>
        <b/>
        <sz val="10"/>
        <rFont val="Arial"/>
        <family val="2"/>
      </rPr>
      <t xml:space="preserve">Total Capitalization: </t>
    </r>
    <r>
      <rPr>
        <sz val="10"/>
        <rFont val="Arial"/>
        <family val="2"/>
      </rPr>
      <t xml:space="preserve"> As of December 31, 2021, total debt was $5.105 billion and total equity was $32.307 billion</t>
    </r>
  </si>
  <si>
    <r>
      <rPr>
        <b/>
        <sz val="10"/>
        <rFont val="Arial"/>
        <family val="2"/>
      </rPr>
      <t>Revenue:</t>
    </r>
    <r>
      <rPr>
        <sz val="10"/>
        <rFont val="Arial"/>
        <family val="2"/>
      </rPr>
      <t xml:space="preserve"> $11.985 billion</t>
    </r>
  </si>
  <si>
    <r>
      <rPr>
        <b/>
        <sz val="10"/>
        <rFont val="Arial"/>
        <family val="2"/>
      </rPr>
      <t xml:space="preserve">Total number of operations: </t>
    </r>
    <r>
      <rPr>
        <sz val="10"/>
        <rFont val="Arial"/>
        <family val="2"/>
      </rPr>
      <t>16 (excluding Porgera on Care and Maintenance and considering each operation associated with NGM).</t>
    </r>
  </si>
  <si>
    <r>
      <rPr>
        <b/>
        <sz val="10"/>
        <rFont val="Arial"/>
        <family val="2"/>
      </rPr>
      <t xml:space="preserve">Total number of people employed by Barrick: </t>
    </r>
    <r>
      <rPr>
        <sz val="10"/>
        <rFont val="Arial"/>
        <family val="2"/>
      </rPr>
      <t>21,348</t>
    </r>
  </si>
  <si>
    <t>Our business at a glance: Managing our business Sustainably, 2021 Annual Information Form; 2021 Annual Report</t>
  </si>
  <si>
    <t>Our business at a glance: Managing our business Sustainably</t>
  </si>
  <si>
    <r>
      <t xml:space="preserve">Barrick’s </t>
    </r>
    <r>
      <rPr>
        <b/>
        <sz val="10"/>
        <rFont val="Arial"/>
        <family val="2"/>
      </rPr>
      <t>principal</t>
    </r>
    <r>
      <rPr>
        <sz val="10"/>
        <rFont val="Arial"/>
        <family val="2"/>
      </rPr>
      <t xml:space="preserve"> products and sources of earnings are gold and copper.</t>
    </r>
  </si>
  <si>
    <t>Reporting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</si>
</sst>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quot;$&quot;#,##0_);[Red]\(&quot;$&quot;#,##0\)"/>
    <numFmt numFmtId="165" formatCode="_(&quot;$&quot;* #,##0.00_);_(&quot;$&quot;* \(#,##0.00\);_(&quot;$&quot;* &quot;-&quot;??_);_(@_)"/>
    <numFmt numFmtId="166" formatCode="_(* #,##0.00_);_(* \(#,##0.00\);_(* &quot;-&quot;??_);_(@_)"/>
    <numFmt numFmtId="167" formatCode="_(* #,##0_);_(* \(#,##0\);_(* &quot;-&quot;??_);_(@_)"/>
    <numFmt numFmtId="168" formatCode="_(* #,##0.0000_);_(* \(#,##0.0000\);_(* &quot;-&quot;??_);_(@_)"/>
    <numFmt numFmtId="169" formatCode="0.0"/>
    <numFmt numFmtId="170" formatCode="_(&quot;$&quot;* #,##0_);_(&quot;$&quot;* \(#,##0\);_(&quot;$&quot;* &quot;-&quot;??_);_(@_)"/>
    <numFmt numFmtId="171" formatCode="_(* #,##0.000_);_(* \(#,##0.000\);_(* &quot;-&quot;??_);_(@_)"/>
    <numFmt numFmtId="172" formatCode="_ * #,##0.00_ ;_ * \-#,##0.00_ ;_ * &quot;-&quot;??_ ;_ @_ "/>
    <numFmt numFmtId="173" formatCode="_-* #,##0.00\ _€_-;\-* #,##0.00\ _€_-;_-* &quot;-&quot;??\ _€_-;_-@_-"/>
    <numFmt numFmtId="174" formatCode="_(&quot;€&quot;* #,##0.00_);_(&quot;€&quot;* \(#,##0.00\);_(&quot;€&quot;* &quot;-&quot;??_);_(@_)"/>
    <numFmt numFmtId="175" formatCode="[$-40C]d\-mmm\-yy;@"/>
    <numFmt numFmtId="176" formatCode="0.0000"/>
    <numFmt numFmtId="177" formatCode="_-[$$-409]* #,##0.00_ ;_-[$$-409]* \-#,##0.00\ ;_-[$$-409]* &quot;-&quot;??_ ;_-@_ "/>
    <numFmt numFmtId="178" formatCode="0.0%"/>
    <numFmt numFmtId="179" formatCode="_-* #,##0_-;\-* #,##0_-;_-* &quot;-&quot;??_-;_-@_-"/>
  </numFmts>
  <fonts count="46"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sz val="11"/>
      <name val="Calibri"/>
      <family val="2"/>
      <scheme val="minor"/>
    </font>
    <font>
      <sz val="9"/>
      <color theme="1"/>
      <name val="Arial"/>
      <family val="2"/>
    </font>
    <font>
      <sz val="11"/>
      <color rgb="FF000000"/>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color theme="1"/>
      <name val="Calibri"/>
      <family val="2"/>
      <scheme val="minor"/>
    </font>
    <font>
      <sz val="10"/>
      <name val="Arial"/>
      <family val="2"/>
    </font>
    <font>
      <sz val="10"/>
      <color indexed="8"/>
      <name val="Arial"/>
      <family val="2"/>
    </font>
    <font>
      <sz val="11"/>
      <color indexed="8"/>
      <name val="Calibri"/>
      <family val="2"/>
    </font>
    <font>
      <sz val="11"/>
      <color rgb="FF9C6500"/>
      <name val="Calibri"/>
      <family val="2"/>
      <scheme val="minor"/>
    </font>
    <font>
      <sz val="10.5"/>
      <name val="Garamond"/>
      <family val="1"/>
    </font>
    <font>
      <sz val="10"/>
      <color theme="1"/>
      <name val="Arial"/>
      <family val="2"/>
    </font>
    <font>
      <u/>
      <sz val="11"/>
      <color theme="10"/>
      <name val="Calibri"/>
      <family val="2"/>
      <scheme val="minor"/>
    </font>
    <font>
      <b/>
      <sz val="10"/>
      <name val="Arial"/>
      <family val="2"/>
    </font>
    <font>
      <sz val="10"/>
      <color rgb="FFFF0000"/>
      <name val="Arial"/>
      <family val="2"/>
    </font>
    <font>
      <b/>
      <sz val="11"/>
      <color theme="1"/>
      <name val="Calibri"/>
      <family val="2"/>
    </font>
    <font>
      <sz val="11"/>
      <color rgb="FF1F497D"/>
      <name val="Calibri"/>
      <family val="2"/>
      <scheme val="minor"/>
    </font>
    <font>
      <u/>
      <sz val="11"/>
      <name val="Calibri"/>
      <family val="2"/>
      <scheme val="minor"/>
    </font>
    <font>
      <b/>
      <sz val="10"/>
      <color theme="1"/>
      <name val="Arial"/>
      <family val="2"/>
    </font>
    <font>
      <b/>
      <sz val="1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9"/>
      <color theme="1"/>
      <name val="Calibri"/>
      <family val="2"/>
      <scheme val="minor"/>
    </font>
    <font>
      <sz val="10"/>
      <color rgb="FF000000"/>
      <name val="Calibri"/>
      <family val="2"/>
    </font>
    <font>
      <sz val="10"/>
      <color theme="1"/>
      <name val="Calibri"/>
      <family val="2"/>
    </font>
    <font>
      <b/>
      <sz val="10"/>
      <color theme="0"/>
      <name val="Calibri"/>
      <family val="2"/>
      <scheme val="minor"/>
    </font>
    <font>
      <sz val="10"/>
      <color theme="4"/>
      <name val="Arial"/>
      <family val="2"/>
    </font>
  </fonts>
  <fills count="4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rgb="FF00B0F0"/>
        <bgColor indexed="64"/>
      </patternFill>
    </fill>
    <fill>
      <patternFill patternType="solid">
        <fgColor theme="0"/>
        <bgColor indexed="64"/>
      </patternFill>
    </fill>
  </fills>
  <borders count="79">
    <border>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auto="1"/>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top style="thin">
        <color auto="1"/>
      </top>
      <bottom style="medium">
        <color indexed="64"/>
      </bottom>
      <diagonal/>
    </border>
    <border>
      <left style="medium">
        <color indexed="64"/>
      </left>
      <right/>
      <top style="thin">
        <color auto="1"/>
      </top>
      <bottom style="medium">
        <color indexed="64"/>
      </bottom>
      <diagonal/>
    </border>
    <border>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indexed="64"/>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style="medium">
        <color indexed="64"/>
      </bottom>
      <diagonal/>
    </border>
    <border>
      <left/>
      <right style="medium">
        <color indexed="64"/>
      </right>
      <top style="thin">
        <color indexed="64"/>
      </top>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bottom style="medium">
        <color indexed="64"/>
      </bottom>
      <diagonal/>
    </border>
    <border>
      <left style="thin">
        <color auto="1"/>
      </left>
      <right/>
      <top/>
      <bottom style="thin">
        <color auto="1"/>
      </bottom>
      <diagonal/>
    </border>
    <border>
      <left style="thin">
        <color auto="1"/>
      </left>
      <right/>
      <top/>
      <bottom style="medium">
        <color indexed="64"/>
      </bottom>
      <diagonal/>
    </border>
    <border>
      <left style="thin">
        <color auto="1"/>
      </left>
      <right/>
      <top style="medium">
        <color indexed="64"/>
      </top>
      <bottom style="medium">
        <color indexed="64"/>
      </bottom>
      <diagonal/>
    </border>
    <border>
      <left/>
      <right/>
      <top/>
      <bottom style="medium">
        <color indexed="64"/>
      </bottom>
      <diagonal/>
    </border>
  </borders>
  <cellStyleXfs count="98">
    <xf numFmtId="0" fontId="0" fillId="0" borderId="0"/>
    <xf numFmtId="166"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7" fillId="0" borderId="0"/>
    <xf numFmtId="0" fontId="8"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10" borderId="9" applyNumberFormat="0" applyAlignment="0" applyProtection="0"/>
    <xf numFmtId="0" fontId="15" fillId="11" borderId="10" applyNumberFormat="0" applyAlignment="0" applyProtection="0"/>
    <xf numFmtId="0" fontId="16" fillId="11" borderId="9" applyNumberFormat="0" applyAlignment="0" applyProtection="0"/>
    <xf numFmtId="0" fontId="17" fillId="0" borderId="11" applyNumberFormat="0" applyFill="0" applyAlignment="0" applyProtection="0"/>
    <xf numFmtId="0" fontId="18" fillId="12" borderId="12" applyNumberFormat="0" applyAlignment="0" applyProtection="0"/>
    <xf numFmtId="0" fontId="19" fillId="0" borderId="0" applyNumberFormat="0" applyFill="0" applyBorder="0" applyAlignment="0" applyProtection="0"/>
    <xf numFmtId="0" fontId="2" fillId="13" borderId="13" applyNumberFormat="0" applyFont="0" applyAlignment="0" applyProtection="0"/>
    <xf numFmtId="0" fontId="20" fillId="0" borderId="0" applyNumberFormat="0" applyFill="0" applyBorder="0" applyAlignment="0" applyProtection="0"/>
    <xf numFmtId="0" fontId="3" fillId="0" borderId="14" applyNumberFormat="0" applyFill="0" applyAlignment="0" applyProtection="0"/>
    <xf numFmtId="0" fontId="2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1"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172" fontId="2" fillId="0" borderId="0" applyFont="0" applyFill="0" applyBorder="0" applyAlignment="0" applyProtection="0"/>
    <xf numFmtId="0" fontId="23" fillId="0" borderId="0"/>
    <xf numFmtId="166"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alignment vertical="top"/>
    </xf>
    <xf numFmtId="43" fontId="23" fillId="0" borderId="0" applyFont="0" applyFill="0" applyBorder="0" applyAlignment="0" applyProtection="0"/>
    <xf numFmtId="0" fontId="23" fillId="0" borderId="0"/>
    <xf numFmtId="0" fontId="24" fillId="0" borderId="0">
      <alignment vertical="top"/>
    </xf>
    <xf numFmtId="0" fontId="2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3" fillId="0" borderId="0"/>
    <xf numFmtId="172" fontId="25"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173" fontId="2" fillId="0" borderId="0" applyFont="0" applyFill="0" applyBorder="0" applyAlignment="0" applyProtection="0"/>
    <xf numFmtId="174" fontId="23" fillId="0" borderId="0" applyFont="0" applyFill="0" applyBorder="0" applyAlignment="0" applyProtection="0"/>
    <xf numFmtId="0" fontId="24" fillId="0" borderId="0">
      <alignment vertical="top"/>
    </xf>
    <xf numFmtId="0" fontId="2" fillId="0" borderId="0"/>
    <xf numFmtId="175" fontId="2" fillId="0" borderId="0"/>
    <xf numFmtId="175" fontId="23" fillId="0" borderId="0"/>
    <xf numFmtId="0" fontId="23" fillId="0" borderId="0"/>
    <xf numFmtId="0" fontId="23" fillId="0" borderId="0"/>
    <xf numFmtId="43" fontId="23" fillId="0" borderId="0" applyFont="0" applyFill="0" applyBorder="0" applyAlignment="0" applyProtection="0"/>
    <xf numFmtId="0" fontId="26" fillId="9"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37" borderId="0" applyNumberFormat="0" applyBorder="0" applyAlignment="0" applyProtection="0"/>
    <xf numFmtId="0" fontId="23" fillId="0" borderId="0"/>
    <xf numFmtId="0" fontId="23" fillId="0" borderId="0"/>
    <xf numFmtId="0" fontId="24" fillId="0" borderId="0">
      <alignment vertical="top"/>
    </xf>
    <xf numFmtId="43" fontId="23" fillId="0" borderId="0" applyFont="0" applyFill="0" applyBorder="0" applyAlignment="0" applyProtection="0"/>
    <xf numFmtId="0" fontId="2" fillId="0" borderId="0"/>
    <xf numFmtId="172" fontId="25" fillId="0" borderId="0" applyFont="0" applyFill="0" applyBorder="0" applyAlignment="0" applyProtection="0"/>
    <xf numFmtId="0" fontId="27"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8" fillId="0" borderId="0"/>
    <xf numFmtId="0" fontId="29" fillId="0" borderId="0" applyNumberFormat="0" applyFill="0" applyBorder="0" applyAlignment="0" applyProtection="0"/>
    <xf numFmtId="43" fontId="2" fillId="0" borderId="0" applyFont="0" applyFill="0" applyBorder="0" applyAlignment="0" applyProtection="0"/>
    <xf numFmtId="43" fontId="24" fillId="0" borderId="0" applyFont="0" applyFill="0" applyBorder="0" applyAlignment="0" applyProtection="0">
      <alignment vertical="top"/>
    </xf>
    <xf numFmtId="43" fontId="23"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 fillId="0" borderId="0"/>
  </cellStyleXfs>
  <cellXfs count="1050">
    <xf numFmtId="0" fontId="0" fillId="0" borderId="0" xfId="0"/>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0" fontId="0" fillId="4" borderId="0" xfId="0" applyFill="1" applyAlignment="1">
      <alignment wrapText="1"/>
    </xf>
    <xf numFmtId="2" fontId="0" fillId="0" borderId="0" xfId="0" applyNumberFormat="1"/>
    <xf numFmtId="9" fontId="0" fillId="0" borderId="0" xfId="3" applyFont="1"/>
    <xf numFmtId="167" fontId="0" fillId="0" borderId="0" xfId="1" applyNumberFormat="1" applyFont="1"/>
    <xf numFmtId="0" fontId="0" fillId="5" borderId="0" xfId="0" applyFill="1"/>
    <xf numFmtId="165" fontId="0" fillId="0" borderId="0" xfId="2" applyFont="1"/>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wrapText="1" indent="1"/>
    </xf>
    <xf numFmtId="0" fontId="3" fillId="0" borderId="0" xfId="0" applyFont="1"/>
    <xf numFmtId="167" fontId="0" fillId="0" borderId="0" xfId="1" applyNumberFormat="1" applyFont="1" applyAlignment="1">
      <alignment wrapText="1"/>
    </xf>
    <xf numFmtId="167" fontId="3" fillId="0" borderId="0" xfId="1" applyNumberFormat="1" applyFont="1"/>
    <xf numFmtId="167" fontId="0" fillId="5" borderId="0" xfId="1" applyNumberFormat="1" applyFont="1" applyFill="1"/>
    <xf numFmtId="0" fontId="0" fillId="5" borderId="0" xfId="0" applyFill="1" applyAlignment="1">
      <alignment wrapText="1"/>
    </xf>
    <xf numFmtId="165" fontId="3" fillId="0" borderId="0" xfId="2" applyFont="1"/>
    <xf numFmtId="167" fontId="2" fillId="0" borderId="0" xfId="1" applyNumberFormat="1" applyFont="1"/>
    <xf numFmtId="167" fontId="0" fillId="0" borderId="0" xfId="1" applyNumberFormat="1" applyFont="1" applyFill="1"/>
    <xf numFmtId="167" fontId="3" fillId="0" borderId="0" xfId="1" applyNumberFormat="1" applyFont="1" applyFill="1"/>
    <xf numFmtId="170" fontId="0" fillId="0" borderId="0" xfId="2" applyNumberFormat="1" applyFont="1"/>
    <xf numFmtId="170" fontId="0" fillId="6" borderId="0" xfId="2" applyNumberFormat="1" applyFont="1" applyFill="1"/>
    <xf numFmtId="170" fontId="0" fillId="0" borderId="0" xfId="2" applyNumberFormat="1" applyFont="1" applyFill="1"/>
    <xf numFmtId="165" fontId="0" fillId="0" borderId="0" xfId="2" applyFont="1" applyFill="1"/>
    <xf numFmtId="167" fontId="0" fillId="0" borderId="2" xfId="1" applyNumberFormat="1" applyFont="1" applyBorder="1"/>
    <xf numFmtId="165" fontId="0" fillId="5" borderId="0" xfId="2" applyFont="1" applyFill="1"/>
    <xf numFmtId="165" fontId="0" fillId="6" borderId="0" xfId="2" applyFont="1" applyFill="1"/>
    <xf numFmtId="9" fontId="0" fillId="0" borderId="0" xfId="3" applyFont="1" applyFill="1"/>
    <xf numFmtId="167" fontId="2" fillId="0" borderId="0" xfId="1" applyNumberFormat="1" applyFont="1" applyFill="1"/>
    <xf numFmtId="167" fontId="2" fillId="5" borderId="0" xfId="1" applyNumberFormat="1" applyFont="1" applyFill="1"/>
    <xf numFmtId="0" fontId="0" fillId="0" borderId="5" xfId="0" applyBorder="1"/>
    <xf numFmtId="170" fontId="3" fillId="0" borderId="0" xfId="2" applyNumberFormat="1" applyFont="1"/>
    <xf numFmtId="170" fontId="0" fillId="0" borderId="0" xfId="2" applyNumberFormat="1" applyFont="1" applyAlignment="1">
      <alignment horizontal="left" indent="1"/>
    </xf>
    <xf numFmtId="167" fontId="0" fillId="0" borderId="5" xfId="1" applyNumberFormat="1" applyFont="1" applyBorder="1"/>
    <xf numFmtId="167" fontId="0" fillId="0" borderId="5" xfId="1" applyNumberFormat="1" applyFont="1" applyFill="1" applyBorder="1"/>
    <xf numFmtId="167" fontId="0" fillId="5" borderId="5" xfId="1" applyNumberFormat="1" applyFont="1" applyFill="1" applyBorder="1"/>
    <xf numFmtId="9" fontId="0" fillId="5" borderId="0" xfId="3" applyFont="1" applyFill="1"/>
    <xf numFmtId="165" fontId="0" fillId="0" borderId="4" xfId="2" applyFont="1" applyBorder="1"/>
    <xf numFmtId="165" fontId="0" fillId="0" borderId="4" xfId="2" applyFont="1" applyFill="1" applyBorder="1"/>
    <xf numFmtId="167" fontId="0" fillId="0" borderId="0" xfId="1" applyNumberFormat="1" applyFont="1" applyAlignment="1">
      <alignment vertical="top" wrapText="1"/>
    </xf>
    <xf numFmtId="167" fontId="2" fillId="0" borderId="0" xfId="1" applyNumberFormat="1" applyFont="1" applyAlignment="1">
      <alignment vertical="top" wrapText="1"/>
    </xf>
    <xf numFmtId="165" fontId="3" fillId="0" borderId="0" xfId="2" applyFont="1" applyFill="1"/>
    <xf numFmtId="165" fontId="3" fillId="6" borderId="0" xfId="2" applyFont="1" applyFill="1"/>
    <xf numFmtId="165" fontId="3" fillId="0" borderId="5" xfId="2" applyFont="1" applyBorder="1"/>
    <xf numFmtId="165" fontId="3" fillId="0" borderId="5" xfId="2" applyFont="1" applyFill="1" applyBorder="1"/>
    <xf numFmtId="165" fontId="3" fillId="0" borderId="4" xfId="2" applyFont="1" applyBorder="1"/>
    <xf numFmtId="165" fontId="3" fillId="0" borderId="4" xfId="2" applyFont="1" applyFill="1" applyBorder="1"/>
    <xf numFmtId="165" fontId="0" fillId="0" borderId="5" xfId="2" applyFont="1" applyBorder="1"/>
    <xf numFmtId="165" fontId="0" fillId="0" borderId="5" xfId="2" applyFont="1" applyFill="1" applyBorder="1"/>
    <xf numFmtId="165" fontId="0" fillId="6" borderId="5" xfId="2" applyFont="1" applyFill="1" applyBorder="1"/>
    <xf numFmtId="170" fontId="0" fillId="0" borderId="0" xfId="2" applyNumberFormat="1" applyFont="1" applyBorder="1" applyAlignment="1">
      <alignment horizontal="left" indent="1"/>
    </xf>
    <xf numFmtId="170" fontId="0" fillId="0" borderId="0" xfId="2" applyNumberFormat="1" applyFont="1" applyBorder="1"/>
    <xf numFmtId="165" fontId="3" fillId="0" borderId="0" xfId="2" applyFont="1" applyBorder="1"/>
    <xf numFmtId="165" fontId="2" fillId="0" borderId="0" xfId="2" applyFont="1"/>
    <xf numFmtId="165" fontId="0" fillId="0" borderId="0" xfId="2" applyFont="1" applyBorder="1"/>
    <xf numFmtId="165" fontId="0" fillId="0" borderId="0" xfId="2" applyFont="1" applyFill="1" applyBorder="1"/>
    <xf numFmtId="165" fontId="0" fillId="6" borderId="0" xfId="2" applyFont="1" applyFill="1" applyBorder="1"/>
    <xf numFmtId="170" fontId="2" fillId="0" borderId="0" xfId="2" applyNumberFormat="1" applyFont="1"/>
    <xf numFmtId="165" fontId="2" fillId="0" borderId="0" xfId="2" applyFont="1" applyBorder="1"/>
    <xf numFmtId="165" fontId="2" fillId="0" borderId="5" xfId="2" applyFont="1" applyBorder="1"/>
    <xf numFmtId="170" fontId="2" fillId="0" borderId="5" xfId="2" applyNumberFormat="1" applyFont="1" applyBorder="1"/>
    <xf numFmtId="0" fontId="0" fillId="5" borderId="5" xfId="0" applyFill="1" applyBorder="1"/>
    <xf numFmtId="165" fontId="0" fillId="0" borderId="0" xfId="2" applyFont="1" applyAlignment="1">
      <alignment horizontal="left" indent="1"/>
    </xf>
    <xf numFmtId="0" fontId="22" fillId="0" borderId="0" xfId="0" applyFont="1" applyAlignment="1">
      <alignment wrapText="1"/>
    </xf>
    <xf numFmtId="165" fontId="0" fillId="6" borderId="4" xfId="2" applyFont="1" applyFill="1" applyBorder="1"/>
    <xf numFmtId="165" fontId="3" fillId="6" borderId="3" xfId="2" applyFont="1" applyFill="1" applyBorder="1"/>
    <xf numFmtId="165" fontId="0" fillId="5" borderId="4" xfId="2" applyFont="1" applyFill="1" applyBorder="1"/>
    <xf numFmtId="165" fontId="3" fillId="0" borderId="3" xfId="2" applyFont="1" applyFill="1" applyBorder="1"/>
    <xf numFmtId="165" fontId="3" fillId="0" borderId="3" xfId="2" applyFont="1" applyBorder="1"/>
    <xf numFmtId="165" fontId="3" fillId="0" borderId="4" xfId="2" applyFont="1" applyBorder="1" applyAlignment="1">
      <alignment horizontal="left"/>
    </xf>
    <xf numFmtId="170" fontId="2" fillId="0" borderId="0" xfId="2" applyNumberFormat="1" applyFont="1" applyAlignment="1">
      <alignment horizontal="left" indent="1"/>
    </xf>
    <xf numFmtId="165" fontId="0" fillId="0" borderId="5" xfId="2" applyFont="1" applyBorder="1" applyAlignment="1">
      <alignment horizontal="left" indent="1"/>
    </xf>
    <xf numFmtId="0" fontId="30" fillId="38" borderId="0" xfId="0" applyFont="1" applyFill="1" applyAlignment="1">
      <alignment horizontal="center" vertical="center" wrapText="1"/>
    </xf>
    <xf numFmtId="0" fontId="23" fillId="0" borderId="5" xfId="0" applyFont="1" applyBorder="1" applyAlignment="1">
      <alignment horizontal="center" vertical="top" wrapText="1"/>
    </xf>
    <xf numFmtId="0" fontId="23" fillId="0" borderId="5" xfId="0" applyFont="1" applyBorder="1" applyAlignment="1">
      <alignment vertical="top" wrapText="1"/>
    </xf>
    <xf numFmtId="0" fontId="0" fillId="0" borderId="0" xfId="0" applyAlignment="1">
      <alignment vertical="top"/>
    </xf>
    <xf numFmtId="0" fontId="23" fillId="0" borderId="4" xfId="0" applyFont="1" applyBorder="1" applyAlignment="1">
      <alignment horizontal="center" vertical="top" wrapText="1"/>
    </xf>
    <xf numFmtId="0" fontId="23" fillId="0" borderId="4" xfId="0" applyFont="1" applyBorder="1" applyAlignment="1">
      <alignment vertical="top" wrapText="1"/>
    </xf>
    <xf numFmtId="0" fontId="23" fillId="0" borderId="4" xfId="0" applyFont="1" applyBorder="1" applyAlignment="1">
      <alignment vertical="top"/>
    </xf>
    <xf numFmtId="166" fontId="23" fillId="0" borderId="4" xfId="1" applyFont="1" applyBorder="1" applyAlignment="1">
      <alignment vertical="top"/>
    </xf>
    <xf numFmtId="166" fontId="23" fillId="0" borderId="4" xfId="1" applyFont="1" applyBorder="1" applyAlignment="1">
      <alignment horizontal="center" vertical="top" wrapText="1"/>
    </xf>
    <xf numFmtId="166" fontId="23" fillId="0" borderId="4" xfId="1" applyFont="1" applyBorder="1" applyAlignment="1">
      <alignment vertical="top" wrapText="1"/>
    </xf>
    <xf numFmtId="0" fontId="4" fillId="0" borderId="0" xfId="0" applyFont="1" applyAlignment="1">
      <alignment vertical="top"/>
    </xf>
    <xf numFmtId="0" fontId="23" fillId="0" borderId="0" xfId="0" applyFont="1" applyAlignment="1">
      <alignment horizontal="center" vertical="top" wrapText="1"/>
    </xf>
    <xf numFmtId="0" fontId="23" fillId="0" borderId="0" xfId="0" applyFont="1" applyAlignment="1">
      <alignment vertical="top" wrapText="1"/>
    </xf>
    <xf numFmtId="0" fontId="31" fillId="0" borderId="0" xfId="0" applyFont="1" applyAlignment="1">
      <alignment horizontal="center" vertical="top"/>
    </xf>
    <xf numFmtId="0" fontId="31" fillId="0" borderId="0" xfId="0" applyFont="1" applyAlignment="1">
      <alignment horizontal="left" vertical="top" wrapText="1"/>
    </xf>
    <xf numFmtId="0" fontId="31" fillId="0" borderId="0" xfId="0" applyFont="1" applyAlignment="1">
      <alignment vertical="top" wrapText="1"/>
    </xf>
    <xf numFmtId="0" fontId="31" fillId="5" borderId="4" xfId="0" applyFont="1" applyFill="1" applyBorder="1" applyAlignment="1">
      <alignment vertical="top" wrapText="1"/>
    </xf>
    <xf numFmtId="0" fontId="31" fillId="5" borderId="4" xfId="0" applyFont="1" applyFill="1" applyBorder="1" applyAlignment="1">
      <alignment horizontal="center" vertical="top"/>
    </xf>
    <xf numFmtId="0" fontId="31" fillId="5" borderId="4" xfId="0" applyFont="1" applyFill="1" applyBorder="1" applyAlignment="1">
      <alignment horizontal="left" vertical="top" wrapText="1"/>
    </xf>
    <xf numFmtId="0" fontId="23" fillId="0" borderId="5" xfId="0" applyFont="1" applyBorder="1" applyAlignment="1">
      <alignment horizontal="center" vertical="top"/>
    </xf>
    <xf numFmtId="0" fontId="23" fillId="0" borderId="5" xfId="0" applyFont="1" applyBorder="1" applyAlignment="1">
      <alignment horizontal="left" vertical="top" wrapText="1"/>
    </xf>
    <xf numFmtId="0" fontId="23" fillId="0" borderId="4" xfId="0" applyFont="1" applyBorder="1" applyAlignment="1">
      <alignment horizontal="center" vertical="top"/>
    </xf>
    <xf numFmtId="0" fontId="23" fillId="0" borderId="4" xfId="0" applyFont="1" applyBorder="1" applyAlignment="1">
      <alignment horizontal="left" vertical="top" wrapText="1"/>
    </xf>
    <xf numFmtId="167" fontId="3" fillId="0" borderId="5" xfId="1" applyNumberFormat="1" applyFont="1" applyBorder="1"/>
    <xf numFmtId="167" fontId="0" fillId="0" borderId="2" xfId="1" applyNumberFormat="1" applyFont="1" applyFill="1" applyBorder="1"/>
    <xf numFmtId="167" fontId="0" fillId="4" borderId="2" xfId="1" applyNumberFormat="1" applyFont="1" applyFill="1" applyBorder="1"/>
    <xf numFmtId="167" fontId="0" fillId="3" borderId="2" xfId="1" applyNumberFormat="1" applyFont="1" applyFill="1" applyBorder="1"/>
    <xf numFmtId="167" fontId="0" fillId="2" borderId="2" xfId="1" applyNumberFormat="1" applyFont="1" applyFill="1" applyBorder="1"/>
    <xf numFmtId="0" fontId="0" fillId="0" borderId="2" xfId="0" applyBorder="1" applyAlignment="1">
      <alignment wrapText="1"/>
    </xf>
    <xf numFmtId="167" fontId="0" fillId="0" borderId="21" xfId="1" applyNumberFormat="1" applyFont="1" applyBorder="1"/>
    <xf numFmtId="167" fontId="3" fillId="4" borderId="2" xfId="1" applyNumberFormat="1" applyFont="1" applyFill="1" applyBorder="1"/>
    <xf numFmtId="167" fontId="0" fillId="38" borderId="2" xfId="1" applyNumberFormat="1" applyFont="1" applyFill="1" applyBorder="1"/>
    <xf numFmtId="167" fontId="3" fillId="38" borderId="2" xfId="1" applyNumberFormat="1" applyFont="1" applyFill="1" applyBorder="1"/>
    <xf numFmtId="167" fontId="2" fillId="0" borderId="2" xfId="1" applyNumberFormat="1" applyFont="1" applyFill="1" applyBorder="1"/>
    <xf numFmtId="167" fontId="2" fillId="3" borderId="2" xfId="1" applyNumberFormat="1" applyFont="1" applyFill="1" applyBorder="1"/>
    <xf numFmtId="0" fontId="0" fillId="0" borderId="17" xfId="0" applyBorder="1" applyAlignment="1">
      <alignment wrapText="1"/>
    </xf>
    <xf numFmtId="167" fontId="3" fillId="38" borderId="21" xfId="1" applyNumberFormat="1" applyFont="1" applyFill="1" applyBorder="1"/>
    <xf numFmtId="167" fontId="2" fillId="3" borderId="21" xfId="1" applyNumberFormat="1" applyFont="1" applyFill="1" applyBorder="1"/>
    <xf numFmtId="0" fontId="0" fillId="0" borderId="20" xfId="0" applyBorder="1" applyAlignment="1">
      <alignment wrapText="1"/>
    </xf>
    <xf numFmtId="167" fontId="2" fillId="0" borderId="21" xfId="1" applyNumberFormat="1" applyFont="1" applyFill="1" applyBorder="1"/>
    <xf numFmtId="167" fontId="3" fillId="4" borderId="21" xfId="1" applyNumberFormat="1" applyFont="1" applyFill="1" applyBorder="1"/>
    <xf numFmtId="167" fontId="3" fillId="4" borderId="16" xfId="1" applyNumberFormat="1" applyFont="1" applyFill="1" applyBorder="1"/>
    <xf numFmtId="167" fontId="0" fillId="3" borderId="21" xfId="1" applyNumberFormat="1" applyFont="1" applyFill="1" applyBorder="1"/>
    <xf numFmtId="0" fontId="0" fillId="4" borderId="35" xfId="0" applyFill="1" applyBorder="1" applyAlignment="1">
      <alignment wrapText="1"/>
    </xf>
    <xf numFmtId="0" fontId="0" fillId="3" borderId="35" xfId="0" applyFill="1"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167" fontId="0" fillId="0" borderId="5" xfId="1" applyNumberFormat="1" applyFont="1" applyBorder="1" applyAlignment="1">
      <alignment wrapText="1"/>
    </xf>
    <xf numFmtId="167" fontId="3" fillId="0" borderId="0" xfId="1" applyNumberFormat="1" applyFont="1" applyAlignment="1">
      <alignment wrapText="1"/>
    </xf>
    <xf numFmtId="167" fontId="0" fillId="5" borderId="2" xfId="1" applyNumberFormat="1" applyFont="1" applyFill="1" applyBorder="1"/>
    <xf numFmtId="0" fontId="3" fillId="0" borderId="0" xfId="0" applyFont="1" applyAlignment="1">
      <alignment wrapText="1"/>
    </xf>
    <xf numFmtId="167" fontId="2" fillId="3" borderId="16" xfId="1" applyNumberFormat="1" applyFont="1" applyFill="1" applyBorder="1"/>
    <xf numFmtId="167" fontId="2" fillId="0" borderId="16" xfId="1" applyNumberFormat="1" applyFont="1" applyFill="1" applyBorder="1"/>
    <xf numFmtId="0" fontId="0" fillId="38" borderId="35" xfId="0" applyFill="1" applyBorder="1" applyAlignment="1">
      <alignment wrapText="1"/>
    </xf>
    <xf numFmtId="0" fontId="0" fillId="2" borderId="35" xfId="0" applyFill="1" applyBorder="1" applyAlignment="1">
      <alignment wrapText="1"/>
    </xf>
    <xf numFmtId="167" fontId="0" fillId="6" borderId="2" xfId="1" applyNumberFormat="1" applyFont="1" applyFill="1" applyBorder="1"/>
    <xf numFmtId="0" fontId="0" fillId="0" borderId="18" xfId="0" applyBorder="1" applyAlignment="1">
      <alignment wrapText="1"/>
    </xf>
    <xf numFmtId="0" fontId="0" fillId="0" borderId="19" xfId="0" applyBorder="1" applyAlignment="1">
      <alignment wrapText="1"/>
    </xf>
    <xf numFmtId="167" fontId="0" fillId="38" borderId="21" xfId="1" applyNumberFormat="1" applyFont="1" applyFill="1" applyBorder="1"/>
    <xf numFmtId="167" fontId="0" fillId="4" borderId="21" xfId="1" applyNumberFormat="1" applyFont="1" applyFill="1" applyBorder="1"/>
    <xf numFmtId="167" fontId="0" fillId="5" borderId="21" xfId="1" applyNumberFormat="1" applyFont="1" applyFill="1" applyBorder="1"/>
    <xf numFmtId="167" fontId="0" fillId="6" borderId="21" xfId="1" applyNumberFormat="1" applyFont="1" applyFill="1" applyBorder="1"/>
    <xf numFmtId="167" fontId="0" fillId="2" borderId="21" xfId="1" applyNumberFormat="1" applyFont="1" applyFill="1" applyBorder="1"/>
    <xf numFmtId="164" fontId="32" fillId="0" borderId="15" xfId="0" applyNumberFormat="1" applyFont="1" applyBorder="1" applyAlignment="1">
      <alignment horizontal="right" vertical="center" wrapText="1"/>
    </xf>
    <xf numFmtId="164" fontId="32" fillId="0" borderId="33" xfId="0" applyNumberFormat="1" applyFont="1" applyBorder="1" applyAlignment="1">
      <alignment horizontal="right" vertical="center" wrapText="1"/>
    </xf>
    <xf numFmtId="9" fontId="3" fillId="0" borderId="0" xfId="3" applyFont="1"/>
    <xf numFmtId="9" fontId="3" fillId="0" borderId="0" xfId="3" applyFont="1" applyAlignment="1">
      <alignment wrapText="1"/>
    </xf>
    <xf numFmtId="0" fontId="31" fillId="0" borderId="4" xfId="0" applyFont="1" applyBorder="1" applyAlignment="1">
      <alignment vertical="top" wrapText="1"/>
    </xf>
    <xf numFmtId="0" fontId="31" fillId="0" borderId="4" xfId="0" applyFont="1" applyBorder="1" applyAlignment="1">
      <alignment horizontal="center" vertical="top"/>
    </xf>
    <xf numFmtId="0" fontId="31" fillId="0" borderId="4" xfId="0" applyFont="1" applyBorder="1" applyAlignment="1">
      <alignment horizontal="left" vertical="top" wrapText="1"/>
    </xf>
    <xf numFmtId="0" fontId="31" fillId="0" borderId="3" xfId="0" applyFont="1" applyBorder="1" applyAlignment="1">
      <alignment horizontal="center" vertical="top"/>
    </xf>
    <xf numFmtId="0" fontId="31" fillId="0" borderId="5" xfId="0" applyFont="1" applyBorder="1" applyAlignment="1">
      <alignment horizontal="center" vertical="top"/>
    </xf>
    <xf numFmtId="0" fontId="23" fillId="5" borderId="4" xfId="0" applyFont="1" applyFill="1" applyBorder="1" applyAlignment="1">
      <alignment vertical="top" wrapText="1"/>
    </xf>
    <xf numFmtId="0" fontId="4" fillId="0" borderId="0" xfId="0" applyFont="1" applyAlignment="1">
      <alignment horizontal="center" vertical="center"/>
    </xf>
    <xf numFmtId="0" fontId="23" fillId="0" borderId="4" xfId="0" applyFont="1" applyBorder="1"/>
    <xf numFmtId="0" fontId="23" fillId="0" borderId="0" xfId="0" applyFont="1"/>
    <xf numFmtId="165" fontId="0" fillId="5" borderId="0" xfId="2" applyFont="1" applyFill="1" applyAlignment="1">
      <alignment horizontal="left"/>
    </xf>
    <xf numFmtId="0" fontId="33" fillId="0" borderId="0" xfId="0" applyFont="1"/>
    <xf numFmtId="0" fontId="23" fillId="5" borderId="4" xfId="0" applyFont="1" applyFill="1" applyBorder="1" applyAlignment="1">
      <alignment horizontal="center" vertical="top"/>
    </xf>
    <xf numFmtId="0" fontId="23" fillId="5" borderId="4" xfId="0" applyFont="1" applyFill="1" applyBorder="1" applyAlignment="1">
      <alignment horizontal="left" vertical="top" wrapText="1"/>
    </xf>
    <xf numFmtId="166" fontId="23" fillId="0" borderId="4" xfId="1" applyFont="1" applyFill="1" applyBorder="1" applyAlignment="1">
      <alignment vertical="top"/>
    </xf>
    <xf numFmtId="166" fontId="23" fillId="0" borderId="4" xfId="1" applyFont="1" applyFill="1" applyBorder="1" applyAlignment="1">
      <alignment horizontal="center" vertical="top" wrapText="1"/>
    </xf>
    <xf numFmtId="166" fontId="23" fillId="0" borderId="4" xfId="1" applyFont="1" applyFill="1" applyBorder="1" applyAlignment="1">
      <alignment vertical="top" wrapText="1"/>
    </xf>
    <xf numFmtId="0" fontId="23" fillId="0" borderId="0" xfId="0" applyFont="1" applyAlignment="1">
      <alignment horizontal="center" vertical="top"/>
    </xf>
    <xf numFmtId="167" fontId="0" fillId="0" borderId="21" xfId="1" applyNumberFormat="1" applyFont="1" applyFill="1" applyBorder="1"/>
    <xf numFmtId="167" fontId="0" fillId="5" borderId="23" xfId="1" applyNumberFormat="1" applyFont="1" applyFill="1" applyBorder="1"/>
    <xf numFmtId="167" fontId="0" fillId="5" borderId="24" xfId="1" applyNumberFormat="1" applyFont="1" applyFill="1" applyBorder="1"/>
    <xf numFmtId="0" fontId="23" fillId="5" borderId="3" xfId="0" applyFont="1" applyFill="1" applyBorder="1" applyAlignment="1">
      <alignment horizontal="left" vertical="top" wrapText="1"/>
    </xf>
    <xf numFmtId="0" fontId="23" fillId="5" borderId="0" xfId="0" applyFont="1" applyFill="1" applyAlignment="1">
      <alignment horizontal="left" vertical="top" wrapText="1"/>
    </xf>
    <xf numFmtId="0" fontId="23" fillId="5" borderId="5" xfId="0" applyFont="1" applyFill="1" applyBorder="1" applyAlignment="1">
      <alignment horizontal="left" vertical="top" wrapText="1"/>
    </xf>
    <xf numFmtId="0" fontId="34" fillId="5" borderId="4" xfId="89" applyFont="1" applyFill="1" applyBorder="1" applyAlignment="1">
      <alignment horizontal="left" vertical="top" wrapText="1"/>
    </xf>
    <xf numFmtId="9" fontId="23" fillId="5" borderId="4" xfId="0" applyNumberFormat="1" applyFont="1" applyFill="1" applyBorder="1" applyAlignment="1">
      <alignment horizontal="left" vertical="top" wrapText="1"/>
    </xf>
    <xf numFmtId="176" fontId="0" fillId="0" borderId="2" xfId="0" applyNumberFormat="1" applyBorder="1"/>
    <xf numFmtId="176" fontId="0" fillId="0" borderId="2" xfId="1" applyNumberFormat="1" applyFont="1" applyBorder="1"/>
    <xf numFmtId="176" fontId="3" fillId="4" borderId="2" xfId="0" applyNumberFormat="1" applyFont="1" applyFill="1" applyBorder="1"/>
    <xf numFmtId="176" fontId="3" fillId="4" borderId="2" xfId="1" applyNumberFormat="1" applyFont="1" applyFill="1" applyBorder="1"/>
    <xf numFmtId="167" fontId="0" fillId="0" borderId="16" xfId="1" applyNumberFormat="1" applyFont="1" applyBorder="1"/>
    <xf numFmtId="167" fontId="3" fillId="4" borderId="20" xfId="1" applyNumberFormat="1" applyFont="1" applyFill="1" applyBorder="1"/>
    <xf numFmtId="0" fontId="3" fillId="0" borderId="0" xfId="0" applyFont="1" applyAlignment="1">
      <alignment horizontal="center" vertical="center" wrapText="1"/>
    </xf>
    <xf numFmtId="167" fontId="2" fillId="3" borderId="20" xfId="1" applyNumberFormat="1" applyFont="1" applyFill="1" applyBorder="1"/>
    <xf numFmtId="167" fontId="2" fillId="0" borderId="20" xfId="1" applyNumberFormat="1" applyFont="1" applyFill="1" applyBorder="1"/>
    <xf numFmtId="0" fontId="3" fillId="0" borderId="0" xfId="0" applyFont="1" applyAlignment="1">
      <alignment vertical="center"/>
    </xf>
    <xf numFmtId="0" fontId="3" fillId="0" borderId="0" xfId="0" applyFont="1" applyAlignment="1">
      <alignment vertical="center" wrapText="1"/>
    </xf>
    <xf numFmtId="167" fontId="3" fillId="4" borderId="20" xfId="0" applyNumberFormat="1" applyFont="1" applyFill="1" applyBorder="1" applyAlignment="1">
      <alignment vertical="center" wrapText="1"/>
    </xf>
    <xf numFmtId="167" fontId="3" fillId="4" borderId="2" xfId="0" applyNumberFormat="1" applyFont="1" applyFill="1" applyBorder="1" applyAlignment="1">
      <alignment vertical="center" wrapText="1"/>
    </xf>
    <xf numFmtId="171" fontId="3" fillId="4" borderId="2" xfId="1" applyNumberFormat="1" applyFont="1" applyFill="1" applyBorder="1" applyAlignment="1">
      <alignment vertical="center" wrapText="1"/>
    </xf>
    <xf numFmtId="171" fontId="3" fillId="4" borderId="21" xfId="1" applyNumberFormat="1" applyFont="1" applyFill="1" applyBorder="1" applyAlignment="1">
      <alignment vertical="center" wrapText="1"/>
    </xf>
    <xf numFmtId="9" fontId="3" fillId="4" borderId="2" xfId="3" applyFont="1" applyFill="1" applyBorder="1" applyAlignment="1">
      <alignment vertical="center" wrapText="1"/>
    </xf>
    <xf numFmtId="166" fontId="3" fillId="4" borderId="2" xfId="1" applyFont="1" applyFill="1" applyBorder="1" applyAlignment="1">
      <alignment vertical="center" wrapText="1"/>
    </xf>
    <xf numFmtId="166" fontId="3" fillId="4" borderId="21" xfId="1" applyFont="1" applyFill="1" applyBorder="1" applyAlignment="1">
      <alignment vertical="center" wrapText="1"/>
    </xf>
    <xf numFmtId="167" fontId="2" fillId="4" borderId="20" xfId="1" applyNumberFormat="1" applyFont="1" applyFill="1" applyBorder="1" applyAlignment="1">
      <alignment vertical="center"/>
    </xf>
    <xf numFmtId="167" fontId="2" fillId="4" borderId="2" xfId="1" applyNumberFormat="1" applyFont="1" applyFill="1" applyBorder="1" applyAlignment="1">
      <alignment vertical="center"/>
    </xf>
    <xf numFmtId="167" fontId="2" fillId="4" borderId="21" xfId="1" applyNumberFormat="1" applyFont="1" applyFill="1" applyBorder="1" applyAlignment="1">
      <alignment vertical="center"/>
    </xf>
    <xf numFmtId="167" fontId="0" fillId="3" borderId="20" xfId="1" applyNumberFormat="1" applyFont="1" applyFill="1" applyBorder="1" applyAlignment="1">
      <alignment vertical="center" wrapText="1"/>
    </xf>
    <xf numFmtId="167" fontId="0" fillId="3" borderId="2" xfId="1" applyNumberFormat="1" applyFont="1" applyFill="1" applyBorder="1" applyAlignment="1">
      <alignment vertical="center" wrapText="1"/>
    </xf>
    <xf numFmtId="171" fontId="0" fillId="3" borderId="2" xfId="1" applyNumberFormat="1" applyFont="1" applyFill="1" applyBorder="1" applyAlignment="1">
      <alignment vertical="center" wrapText="1"/>
    </xf>
    <xf numFmtId="171" fontId="0" fillId="3" borderId="21" xfId="1" applyNumberFormat="1" applyFont="1" applyFill="1" applyBorder="1" applyAlignment="1">
      <alignment vertical="center" wrapText="1"/>
    </xf>
    <xf numFmtId="9" fontId="0" fillId="3" borderId="2" xfId="3" applyFont="1" applyFill="1" applyBorder="1" applyAlignment="1">
      <alignment vertical="center" wrapText="1"/>
    </xf>
    <xf numFmtId="166" fontId="0" fillId="3" borderId="2" xfId="1" applyFont="1" applyFill="1" applyBorder="1" applyAlignment="1">
      <alignment vertical="center" wrapText="1"/>
    </xf>
    <xf numFmtId="166" fontId="0" fillId="3" borderId="21" xfId="1" applyFont="1" applyFill="1" applyBorder="1" applyAlignment="1">
      <alignment vertical="center" wrapText="1"/>
    </xf>
    <xf numFmtId="167" fontId="2" fillId="3" borderId="20" xfId="1" applyNumberFormat="1" applyFont="1" applyFill="1" applyBorder="1" applyAlignment="1">
      <alignment vertical="center"/>
    </xf>
    <xf numFmtId="167" fontId="2" fillId="3" borderId="2" xfId="1" applyNumberFormat="1" applyFont="1" applyFill="1" applyBorder="1" applyAlignment="1">
      <alignment vertical="center"/>
    </xf>
    <xf numFmtId="167" fontId="2" fillId="3" borderId="21" xfId="1" applyNumberFormat="1" applyFont="1" applyFill="1" applyBorder="1" applyAlignment="1">
      <alignment vertical="center"/>
    </xf>
    <xf numFmtId="0" fontId="0" fillId="0" borderId="0" xfId="0" applyAlignment="1">
      <alignment vertical="center"/>
    </xf>
    <xf numFmtId="0" fontId="0" fillId="3" borderId="0" xfId="0" applyFill="1" applyAlignment="1">
      <alignment vertical="center"/>
    </xf>
    <xf numFmtId="167" fontId="0" fillId="0" borderId="20" xfId="1" applyNumberFormat="1" applyFont="1" applyFill="1" applyBorder="1" applyAlignment="1">
      <alignment vertical="center" wrapText="1"/>
    </xf>
    <xf numFmtId="167" fontId="0" fillId="0" borderId="2" xfId="1" applyNumberFormat="1" applyFont="1" applyFill="1" applyBorder="1" applyAlignment="1">
      <alignment vertical="center" wrapText="1"/>
    </xf>
    <xf numFmtId="171" fontId="0" fillId="0" borderId="2" xfId="1" applyNumberFormat="1" applyFont="1" applyFill="1" applyBorder="1" applyAlignment="1">
      <alignment vertical="center" wrapText="1"/>
    </xf>
    <xf numFmtId="171" fontId="0" fillId="0" borderId="21" xfId="1" applyNumberFormat="1" applyFont="1" applyFill="1" applyBorder="1" applyAlignment="1">
      <alignment vertical="center" wrapText="1"/>
    </xf>
    <xf numFmtId="9" fontId="0" fillId="0" borderId="2" xfId="3" applyFont="1" applyFill="1" applyBorder="1" applyAlignment="1">
      <alignment vertical="center" wrapText="1"/>
    </xf>
    <xf numFmtId="166" fontId="0" fillId="0" borderId="2" xfId="1" applyFont="1" applyFill="1" applyBorder="1" applyAlignment="1">
      <alignment vertical="center" wrapText="1"/>
    </xf>
    <xf numFmtId="166" fontId="0" fillId="0" borderId="21" xfId="1" applyFont="1" applyFill="1" applyBorder="1" applyAlignment="1">
      <alignment vertical="center" wrapText="1"/>
    </xf>
    <xf numFmtId="167" fontId="2" fillId="0" borderId="2" xfId="1" applyNumberFormat="1" applyFont="1" applyFill="1" applyBorder="1" applyAlignment="1">
      <alignment vertical="center"/>
    </xf>
    <xf numFmtId="167" fontId="2" fillId="0" borderId="21" xfId="1" applyNumberFormat="1" applyFont="1" applyFill="1" applyBorder="1" applyAlignment="1">
      <alignment vertical="center"/>
    </xf>
    <xf numFmtId="167" fontId="2" fillId="0" borderId="20" xfId="1" applyNumberFormat="1" applyFont="1" applyFill="1" applyBorder="1" applyAlignment="1">
      <alignment horizontal="center" vertical="center"/>
    </xf>
    <xf numFmtId="167" fontId="3" fillId="4" borderId="20" xfId="1" applyNumberFormat="1" applyFont="1" applyFill="1" applyBorder="1" applyAlignment="1">
      <alignment vertical="center" wrapText="1"/>
    </xf>
    <xf numFmtId="167" fontId="3" fillId="4" borderId="2" xfId="1" applyNumberFormat="1" applyFont="1" applyFill="1" applyBorder="1" applyAlignment="1">
      <alignment vertical="center" wrapText="1"/>
    </xf>
    <xf numFmtId="167" fontId="3" fillId="4" borderId="2" xfId="1" applyNumberFormat="1" applyFont="1" applyFill="1" applyBorder="1" applyAlignment="1">
      <alignment vertical="center"/>
    </xf>
    <xf numFmtId="167" fontId="2" fillId="2" borderId="2" xfId="1" applyNumberFormat="1" applyFont="1" applyFill="1" applyBorder="1" applyAlignment="1">
      <alignment vertical="center"/>
    </xf>
    <xf numFmtId="0" fontId="0" fillId="2" borderId="0" xfId="0" applyFill="1" applyAlignment="1">
      <alignment vertical="center"/>
    </xf>
    <xf numFmtId="0" fontId="0" fillId="0" borderId="0" xfId="0" applyAlignment="1">
      <alignment vertical="center" wrapText="1"/>
    </xf>
    <xf numFmtId="166" fontId="0" fillId="0" borderId="0" xfId="1" applyFont="1" applyAlignment="1">
      <alignment vertical="center" wrapText="1"/>
    </xf>
    <xf numFmtId="167" fontId="2" fillId="0" borderId="0" xfId="1" applyNumberFormat="1" applyFont="1" applyAlignment="1">
      <alignment vertical="center"/>
    </xf>
    <xf numFmtId="0" fontId="3" fillId="4" borderId="20" xfId="0" applyFont="1" applyFill="1" applyBorder="1" applyAlignment="1">
      <alignment vertical="center" wrapText="1"/>
    </xf>
    <xf numFmtId="167" fontId="3" fillId="4" borderId="16" xfId="0" applyNumberFormat="1" applyFont="1" applyFill="1" applyBorder="1" applyAlignment="1">
      <alignment vertical="center" wrapText="1"/>
    </xf>
    <xf numFmtId="166" fontId="3" fillId="4" borderId="16" xfId="1" applyFont="1" applyFill="1" applyBorder="1" applyAlignment="1">
      <alignment vertical="center" wrapText="1"/>
    </xf>
    <xf numFmtId="0" fontId="3" fillId="4" borderId="16" xfId="0" applyFont="1" applyFill="1" applyBorder="1" applyAlignment="1">
      <alignment vertical="center" wrapText="1"/>
    </xf>
    <xf numFmtId="0" fontId="0" fillId="3" borderId="20" xfId="0" applyFill="1" applyBorder="1" applyAlignment="1">
      <alignment vertical="center" wrapText="1"/>
    </xf>
    <xf numFmtId="167" fontId="0" fillId="3" borderId="16" xfId="1" applyNumberFormat="1" applyFont="1" applyFill="1" applyBorder="1" applyAlignment="1">
      <alignment vertical="center" wrapText="1"/>
    </xf>
    <xf numFmtId="166" fontId="0" fillId="3" borderId="16" xfId="1" applyFont="1" applyFill="1" applyBorder="1" applyAlignment="1">
      <alignment vertical="center" wrapText="1"/>
    </xf>
    <xf numFmtId="0" fontId="0" fillId="3" borderId="16" xfId="0" applyFill="1" applyBorder="1" applyAlignment="1">
      <alignment vertical="center" wrapText="1"/>
    </xf>
    <xf numFmtId="0" fontId="0" fillId="0" borderId="20" xfId="0" applyBorder="1" applyAlignment="1">
      <alignment vertical="center" wrapText="1"/>
    </xf>
    <xf numFmtId="167" fontId="0" fillId="0" borderId="16" xfId="1" applyNumberFormat="1" applyFont="1" applyFill="1" applyBorder="1" applyAlignment="1">
      <alignment vertical="center" wrapText="1"/>
    </xf>
    <xf numFmtId="166" fontId="0" fillId="0" borderId="16" xfId="1" applyFont="1" applyFill="1" applyBorder="1" applyAlignment="1">
      <alignment vertical="center" wrapText="1"/>
    </xf>
    <xf numFmtId="0" fontId="0" fillId="0" borderId="16" xfId="0" applyBorder="1" applyAlignment="1">
      <alignment vertical="center" wrapText="1"/>
    </xf>
    <xf numFmtId="167" fontId="2" fillId="0" borderId="2" xfId="1" applyNumberFormat="1" applyFont="1" applyFill="1" applyBorder="1" applyAlignment="1">
      <alignment horizontal="center" vertical="center"/>
    </xf>
    <xf numFmtId="167" fontId="3" fillId="4" borderId="16" xfId="1" applyNumberFormat="1" applyFont="1" applyFill="1" applyBorder="1" applyAlignment="1">
      <alignment vertical="center" wrapText="1"/>
    </xf>
    <xf numFmtId="0" fontId="0" fillId="2" borderId="20" xfId="0" applyFill="1" applyBorder="1" applyAlignment="1">
      <alignment vertical="center" wrapText="1"/>
    </xf>
    <xf numFmtId="167" fontId="0" fillId="2" borderId="16" xfId="1" applyNumberFormat="1" applyFont="1" applyFill="1" applyBorder="1" applyAlignment="1">
      <alignment vertical="center" wrapText="1"/>
    </xf>
    <xf numFmtId="166" fontId="0" fillId="2" borderId="16" xfId="1" applyFont="1" applyFill="1" applyBorder="1" applyAlignment="1">
      <alignment vertical="center" wrapText="1"/>
    </xf>
    <xf numFmtId="0" fontId="0" fillId="2" borderId="16" xfId="0" applyFill="1" applyBorder="1" applyAlignment="1">
      <alignment vertical="center" wrapText="1"/>
    </xf>
    <xf numFmtId="0" fontId="0" fillId="0" borderId="45" xfId="0" applyBorder="1" applyAlignment="1">
      <alignment vertical="center" wrapText="1"/>
    </xf>
    <xf numFmtId="167" fontId="0" fillId="0" borderId="25" xfId="1" applyNumberFormat="1" applyFont="1" applyFill="1" applyBorder="1" applyAlignment="1">
      <alignment vertical="center" wrapText="1"/>
    </xf>
    <xf numFmtId="166" fontId="0" fillId="0" borderId="25" xfId="1" applyFont="1" applyFill="1" applyBorder="1" applyAlignment="1">
      <alignment vertical="center" wrapText="1"/>
    </xf>
    <xf numFmtId="0" fontId="0" fillId="0" borderId="25" xfId="0" applyBorder="1" applyAlignment="1">
      <alignment vertical="center" wrapText="1"/>
    </xf>
    <xf numFmtId="167" fontId="2" fillId="0" borderId="46" xfId="1" applyNumberFormat="1" applyFont="1" applyFill="1" applyBorder="1" applyAlignment="1">
      <alignment vertical="center"/>
    </xf>
    <xf numFmtId="0" fontId="0" fillId="0" borderId="2" xfId="0" applyBorder="1" applyAlignment="1">
      <alignment vertical="center" wrapText="1"/>
    </xf>
    <xf numFmtId="167" fontId="0" fillId="0" borderId="0" xfId="0" applyNumberFormat="1" applyAlignment="1">
      <alignment vertical="center" wrapText="1"/>
    </xf>
    <xf numFmtId="0" fontId="5" fillId="0" borderId="0" xfId="0" applyFont="1" applyAlignment="1">
      <alignment horizontal="right" vertical="center" wrapText="1"/>
    </xf>
    <xf numFmtId="0" fontId="5" fillId="0" borderId="0" xfId="0" applyFont="1" applyAlignment="1">
      <alignment horizontal="right" vertical="center"/>
    </xf>
    <xf numFmtId="166" fontId="0" fillId="0" borderId="0" xfId="1" applyFont="1" applyAlignment="1">
      <alignment vertical="center"/>
    </xf>
    <xf numFmtId="0" fontId="3" fillId="0" borderId="35" xfId="0" applyFont="1" applyBorder="1" applyAlignment="1">
      <alignment vertical="center" wrapText="1"/>
    </xf>
    <xf numFmtId="0" fontId="3" fillId="0" borderId="27" xfId="0" applyFont="1" applyBorder="1" applyAlignment="1">
      <alignment vertical="center" wrapText="1"/>
    </xf>
    <xf numFmtId="0" fontId="3" fillId="0" borderId="26" xfId="0" applyFont="1" applyBorder="1" applyAlignment="1">
      <alignment vertical="center" wrapText="1"/>
    </xf>
    <xf numFmtId="0" fontId="3" fillId="0" borderId="1" xfId="0" applyFont="1" applyBorder="1" applyAlignment="1">
      <alignment vertical="center" wrapText="1"/>
    </xf>
    <xf numFmtId="176" fontId="0" fillId="3" borderId="2" xfId="0" applyNumberFormat="1" applyFill="1" applyBorder="1"/>
    <xf numFmtId="176" fontId="2" fillId="3" borderId="2" xfId="1" applyNumberFormat="1" applyFont="1" applyFill="1" applyBorder="1"/>
    <xf numFmtId="167" fontId="2" fillId="0" borderId="20" xfId="1" applyNumberFormat="1" applyFont="1" applyBorder="1"/>
    <xf numFmtId="167" fontId="2" fillId="0" borderId="2" xfId="1" applyNumberFormat="1" applyFont="1" applyBorder="1"/>
    <xf numFmtId="167" fontId="2" fillId="0" borderId="21" xfId="1" applyNumberFormat="1" applyFont="1" applyBorder="1"/>
    <xf numFmtId="176" fontId="2" fillId="0" borderId="2" xfId="1" applyNumberFormat="1" applyFont="1" applyBorder="1"/>
    <xf numFmtId="167" fontId="2" fillId="3" borderId="20" xfId="1" applyNumberFormat="1" applyFont="1" applyFill="1" applyBorder="1" applyAlignment="1">
      <alignment vertical="center" wrapText="1"/>
    </xf>
    <xf numFmtId="167" fontId="2" fillId="3" borderId="2" xfId="1" applyNumberFormat="1" applyFont="1" applyFill="1" applyBorder="1" applyAlignment="1">
      <alignment vertical="center" wrapText="1"/>
    </xf>
    <xf numFmtId="171" fontId="2" fillId="3" borderId="2" xfId="1" applyNumberFormat="1" applyFont="1" applyFill="1" applyBorder="1" applyAlignment="1">
      <alignment vertical="center" wrapText="1"/>
    </xf>
    <xf numFmtId="171" fontId="2" fillId="3" borderId="21" xfId="1" applyNumberFormat="1" applyFont="1" applyFill="1" applyBorder="1" applyAlignment="1">
      <alignment vertical="center" wrapText="1"/>
    </xf>
    <xf numFmtId="9" fontId="2" fillId="3" borderId="2" xfId="3" applyFont="1" applyFill="1" applyBorder="1" applyAlignment="1">
      <alignment vertical="center" wrapText="1"/>
    </xf>
    <xf numFmtId="166" fontId="2" fillId="3" borderId="2" xfId="1" applyFont="1" applyFill="1" applyBorder="1" applyAlignment="1">
      <alignment vertical="center" wrapText="1"/>
    </xf>
    <xf numFmtId="166" fontId="2" fillId="3" borderId="21" xfId="1" applyFont="1" applyFill="1" applyBorder="1" applyAlignment="1">
      <alignment vertical="center" wrapText="1"/>
    </xf>
    <xf numFmtId="167" fontId="2" fillId="0" borderId="20" xfId="1" applyNumberFormat="1" applyFont="1" applyFill="1" applyBorder="1" applyAlignment="1">
      <alignment vertical="center" wrapText="1"/>
    </xf>
    <xf numFmtId="167" fontId="2" fillId="0" borderId="2" xfId="1" applyNumberFormat="1" applyFont="1" applyFill="1" applyBorder="1" applyAlignment="1">
      <alignment vertical="center" wrapText="1"/>
    </xf>
    <xf numFmtId="171" fontId="2" fillId="0" borderId="2" xfId="1" applyNumberFormat="1" applyFont="1" applyFill="1" applyBorder="1" applyAlignment="1">
      <alignment vertical="center" wrapText="1"/>
    </xf>
    <xf numFmtId="171" fontId="2" fillId="0" borderId="21" xfId="1" applyNumberFormat="1" applyFont="1" applyFill="1" applyBorder="1" applyAlignment="1">
      <alignment vertical="center" wrapText="1"/>
    </xf>
    <xf numFmtId="9" fontId="2" fillId="0" borderId="2" xfId="3" applyFont="1" applyFill="1" applyBorder="1" applyAlignment="1">
      <alignment vertical="center" wrapText="1"/>
    </xf>
    <xf numFmtId="166" fontId="2" fillId="0" borderId="2" xfId="1" applyFont="1" applyFill="1" applyBorder="1" applyAlignment="1">
      <alignment vertical="center" wrapText="1"/>
    </xf>
    <xf numFmtId="166" fontId="2" fillId="0" borderId="21" xfId="1" applyFont="1" applyFill="1" applyBorder="1" applyAlignment="1">
      <alignment vertical="center" wrapText="1"/>
    </xf>
    <xf numFmtId="0" fontId="3" fillId="0" borderId="51" xfId="0" applyFont="1" applyBorder="1" applyAlignment="1">
      <alignment vertical="center" wrapText="1"/>
    </xf>
    <xf numFmtId="0" fontId="3" fillId="38" borderId="39" xfId="0" applyFont="1" applyFill="1" applyBorder="1" applyAlignment="1">
      <alignment vertical="center" wrapText="1"/>
    </xf>
    <xf numFmtId="0" fontId="3" fillId="4" borderId="43" xfId="0" applyFont="1" applyFill="1" applyBorder="1" applyAlignment="1">
      <alignment vertical="center" wrapText="1"/>
    </xf>
    <xf numFmtId="9" fontId="0" fillId="0" borderId="20" xfId="3" applyFont="1" applyFill="1" applyBorder="1"/>
    <xf numFmtId="176" fontId="0" fillId="0" borderId="21" xfId="1" applyNumberFormat="1" applyFont="1" applyBorder="1"/>
    <xf numFmtId="9" fontId="3" fillId="4" borderId="20" xfId="3" applyFont="1" applyFill="1" applyBorder="1"/>
    <xf numFmtId="176" fontId="3" fillId="4" borderId="21" xfId="1" applyNumberFormat="1" applyFont="1" applyFill="1" applyBorder="1"/>
    <xf numFmtId="9" fontId="2" fillId="3" borderId="20" xfId="3" applyFont="1" applyFill="1" applyBorder="1"/>
    <xf numFmtId="176" fontId="2" fillId="3" borderId="21" xfId="1" applyNumberFormat="1" applyFont="1" applyFill="1" applyBorder="1"/>
    <xf numFmtId="9" fontId="2" fillId="0" borderId="20" xfId="3" applyFont="1" applyFill="1" applyBorder="1"/>
    <xf numFmtId="176" fontId="2" fillId="0" borderId="21" xfId="1" applyNumberFormat="1" applyFont="1" applyBorder="1"/>
    <xf numFmtId="9" fontId="2" fillId="0" borderId="20" xfId="3" applyFont="1" applyBorder="1"/>
    <xf numFmtId="167" fontId="0" fillId="0" borderId="48" xfId="1" applyNumberFormat="1" applyFont="1" applyBorder="1"/>
    <xf numFmtId="167" fontId="3" fillId="4" borderId="48" xfId="1" applyNumberFormat="1" applyFont="1" applyFill="1" applyBorder="1"/>
    <xf numFmtId="167" fontId="2" fillId="3" borderId="48" xfId="1" applyNumberFormat="1" applyFont="1" applyFill="1" applyBorder="1"/>
    <xf numFmtId="167" fontId="2" fillId="0" borderId="48" xfId="1" applyNumberFormat="1" applyFont="1" applyFill="1" applyBorder="1"/>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39" borderId="43" xfId="0" applyFill="1" applyBorder="1" applyAlignment="1">
      <alignment horizontal="left" wrapText="1" indent="2"/>
    </xf>
    <xf numFmtId="0" fontId="0" fillId="3" borderId="43" xfId="0" applyFill="1" applyBorder="1" applyAlignment="1">
      <alignment horizontal="left" vertical="center" wrapText="1" indent="1"/>
    </xf>
    <xf numFmtId="0" fontId="0" fillId="0" borderId="43" xfId="0" applyBorder="1" applyAlignment="1">
      <alignment horizontal="left" vertical="center" wrapText="1" indent="2"/>
    </xf>
    <xf numFmtId="0" fontId="0" fillId="39" borderId="43" xfId="0" applyFill="1" applyBorder="1" applyAlignment="1">
      <alignment horizontal="left" vertical="center" wrapText="1" indent="2"/>
    </xf>
    <xf numFmtId="167" fontId="3" fillId="38" borderId="18" xfId="1" applyNumberFormat="1" applyFont="1" applyFill="1" applyBorder="1"/>
    <xf numFmtId="167" fontId="3" fillId="38" borderId="56" xfId="1" applyNumberFormat="1" applyFont="1" applyFill="1" applyBorder="1"/>
    <xf numFmtId="167" fontId="3" fillId="38" borderId="40" xfId="1" applyNumberFormat="1" applyFont="1" applyFill="1" applyBorder="1"/>
    <xf numFmtId="176" fontId="3" fillId="38" borderId="18" xfId="1" applyNumberFormat="1" applyFont="1" applyFill="1" applyBorder="1"/>
    <xf numFmtId="176" fontId="3" fillId="38" borderId="19" xfId="1" applyNumberFormat="1" applyFont="1" applyFill="1" applyBorder="1"/>
    <xf numFmtId="167" fontId="3" fillId="38" borderId="57" xfId="1" applyNumberFormat="1" applyFont="1" applyFill="1" applyBorder="1"/>
    <xf numFmtId="167" fontId="2" fillId="0" borderId="22" xfId="1" applyNumberFormat="1" applyFont="1" applyFill="1" applyBorder="1" applyAlignment="1">
      <alignment horizontal="center" vertical="center"/>
    </xf>
    <xf numFmtId="167" fontId="2" fillId="0" borderId="23" xfId="1" applyNumberFormat="1" applyFont="1" applyFill="1" applyBorder="1" applyAlignment="1">
      <alignment vertical="center"/>
    </xf>
    <xf numFmtId="167" fontId="2" fillId="0" borderId="24" xfId="1" applyNumberFormat="1" applyFont="1" applyFill="1" applyBorder="1" applyAlignment="1">
      <alignment vertical="center"/>
    </xf>
    <xf numFmtId="167" fontId="2" fillId="0" borderId="23" xfId="1" applyNumberFormat="1" applyFont="1" applyFill="1" applyBorder="1" applyAlignment="1">
      <alignment vertical="center" wrapText="1"/>
    </xf>
    <xf numFmtId="167" fontId="3" fillId="38" borderId="17" xfId="0" applyNumberFormat="1" applyFont="1" applyFill="1" applyBorder="1" applyAlignment="1">
      <alignment vertical="center" wrapText="1"/>
    </xf>
    <xf numFmtId="167" fontId="3" fillId="38" borderId="18" xfId="0" applyNumberFormat="1" applyFont="1" applyFill="1" applyBorder="1" applyAlignment="1">
      <alignment vertical="center" wrapText="1"/>
    </xf>
    <xf numFmtId="9" fontId="3" fillId="38" borderId="18" xfId="3" applyFont="1" applyFill="1" applyBorder="1" applyAlignment="1">
      <alignment vertical="center" wrapText="1"/>
    </xf>
    <xf numFmtId="166" fontId="3" fillId="38" borderId="18" xfId="1" applyFont="1" applyFill="1" applyBorder="1" applyAlignment="1">
      <alignment vertical="center" wrapText="1"/>
    </xf>
    <xf numFmtId="167" fontId="3" fillId="38" borderId="17" xfId="1" applyNumberFormat="1" applyFont="1" applyFill="1" applyBorder="1" applyAlignment="1">
      <alignment vertical="center"/>
    </xf>
    <xf numFmtId="167" fontId="3" fillId="38" borderId="18" xfId="1" applyNumberFormat="1" applyFont="1" applyFill="1" applyBorder="1" applyAlignment="1">
      <alignment vertical="center"/>
    </xf>
    <xf numFmtId="167" fontId="3" fillId="38" borderId="19" xfId="1" applyNumberFormat="1" applyFont="1" applyFill="1" applyBorder="1" applyAlignment="1">
      <alignment vertical="center"/>
    </xf>
    <xf numFmtId="167" fontId="2" fillId="0" borderId="22" xfId="1" applyNumberFormat="1" applyFont="1" applyFill="1" applyBorder="1" applyAlignment="1">
      <alignment vertical="center" wrapText="1"/>
    </xf>
    <xf numFmtId="171" fontId="2" fillId="0" borderId="23" xfId="1" applyNumberFormat="1" applyFont="1" applyFill="1" applyBorder="1" applyAlignment="1">
      <alignment vertical="center" wrapText="1"/>
    </xf>
    <xf numFmtId="171" fontId="2" fillId="0" borderId="24" xfId="1" applyNumberFormat="1" applyFont="1" applyFill="1" applyBorder="1" applyAlignment="1">
      <alignment vertical="center" wrapText="1"/>
    </xf>
    <xf numFmtId="9" fontId="2" fillId="0" borderId="23" xfId="3" applyFont="1" applyFill="1" applyBorder="1" applyAlignment="1">
      <alignment vertical="center" wrapText="1"/>
    </xf>
    <xf numFmtId="0" fontId="3" fillId="0" borderId="34" xfId="0" applyFont="1" applyBorder="1" applyAlignment="1">
      <alignment horizontal="center" vertical="center" wrapText="1"/>
    </xf>
    <xf numFmtId="0" fontId="0" fillId="0" borderId="49" xfId="0" applyBorder="1" applyAlignment="1">
      <alignment wrapText="1"/>
    </xf>
    <xf numFmtId="0" fontId="3" fillId="4" borderId="49" xfId="0" applyFont="1" applyFill="1" applyBorder="1" applyAlignment="1">
      <alignment wrapText="1"/>
    </xf>
    <xf numFmtId="0" fontId="0" fillId="3" borderId="49" xfId="0" applyFill="1" applyBorder="1" applyAlignment="1">
      <alignment horizontal="left" wrapText="1" indent="1"/>
    </xf>
    <xf numFmtId="0" fontId="0" fillId="0" borderId="49" xfId="0" applyBorder="1" applyAlignment="1">
      <alignment horizontal="left" wrapText="1" indent="2"/>
    </xf>
    <xf numFmtId="0" fontId="0" fillId="39" borderId="49" xfId="0" applyFill="1" applyBorder="1" applyAlignment="1">
      <alignment horizontal="left" wrapText="1" indent="2"/>
    </xf>
    <xf numFmtId="167" fontId="2" fillId="3" borderId="49" xfId="1" applyNumberFormat="1" applyFont="1" applyFill="1" applyBorder="1" applyAlignment="1">
      <alignment horizontal="left" wrapText="1" indent="1"/>
    </xf>
    <xf numFmtId="167" fontId="2" fillId="0" borderId="49" xfId="1" applyNumberFormat="1" applyFont="1" applyFill="1" applyBorder="1" applyAlignment="1">
      <alignment horizontal="left" wrapText="1" indent="2"/>
    </xf>
    <xf numFmtId="2" fontId="0" fillId="3" borderId="49" xfId="0" applyNumberFormat="1" applyFill="1" applyBorder="1" applyAlignment="1">
      <alignment horizontal="left" wrapText="1" indent="1"/>
    </xf>
    <xf numFmtId="0" fontId="3" fillId="0" borderId="31" xfId="0" applyFont="1" applyBorder="1" applyAlignment="1">
      <alignment vertical="center" wrapText="1"/>
    </xf>
    <xf numFmtId="0" fontId="0" fillId="3" borderId="49" xfId="0" applyFill="1" applyBorder="1" applyAlignment="1">
      <alignment horizontal="left" wrapText="1" indent="2"/>
    </xf>
    <xf numFmtId="0" fontId="0" fillId="0" borderId="49" xfId="0" applyBorder="1" applyAlignment="1">
      <alignment horizontal="left" wrapText="1" indent="3"/>
    </xf>
    <xf numFmtId="0" fontId="0" fillId="0" borderId="55" xfId="0" applyBorder="1" applyAlignment="1">
      <alignment horizontal="left" wrapText="1" indent="3"/>
    </xf>
    <xf numFmtId="0" fontId="0" fillId="3" borderId="43" xfId="0" applyFill="1" applyBorder="1" applyAlignment="1">
      <alignment horizontal="left" vertical="center" wrapText="1" indent="2"/>
    </xf>
    <xf numFmtId="0" fontId="0" fillId="0" borderId="43" xfId="0" applyBorder="1" applyAlignment="1">
      <alignment horizontal="left" wrapText="1" indent="3"/>
    </xf>
    <xf numFmtId="0" fontId="0" fillId="0" borderId="47" xfId="0" applyBorder="1" applyAlignment="1">
      <alignment horizontal="left" wrapText="1" indent="3"/>
    </xf>
    <xf numFmtId="167" fontId="3" fillId="0" borderId="45" xfId="1" applyNumberFormat="1" applyFont="1" applyBorder="1" applyAlignment="1">
      <alignment wrapText="1"/>
    </xf>
    <xf numFmtId="167" fontId="3" fillId="0" borderId="46" xfId="1" applyNumberFormat="1" applyFont="1" applyBorder="1" applyAlignment="1">
      <alignment wrapText="1"/>
    </xf>
    <xf numFmtId="167" fontId="3" fillId="0" borderId="71" xfId="1" applyNumberFormat="1" applyFont="1" applyBorder="1" applyAlignment="1">
      <alignment wrapText="1"/>
    </xf>
    <xf numFmtId="167" fontId="3" fillId="0" borderId="25" xfId="1" applyNumberFormat="1" applyFont="1" applyBorder="1" applyAlignment="1">
      <alignment wrapText="1"/>
    </xf>
    <xf numFmtId="0" fontId="3" fillId="38" borderId="48" xfId="0" applyFont="1" applyFill="1" applyBorder="1" applyAlignment="1">
      <alignment wrapText="1"/>
    </xf>
    <xf numFmtId="0" fontId="3" fillId="4" borderId="48" xfId="0" applyFont="1" applyFill="1" applyBorder="1" applyAlignment="1">
      <alignment wrapText="1"/>
    </xf>
    <xf numFmtId="0" fontId="0" fillId="3" borderId="48" xfId="0" applyFill="1" applyBorder="1" applyAlignment="1">
      <alignment horizontal="left" wrapText="1" indent="1"/>
    </xf>
    <xf numFmtId="0" fontId="0" fillId="0" borderId="48" xfId="0" applyBorder="1" applyAlignment="1">
      <alignment horizontal="left" wrapText="1" indent="2"/>
    </xf>
    <xf numFmtId="0" fontId="0" fillId="0" borderId="48" xfId="0" applyBorder="1" applyAlignment="1">
      <alignment horizontal="left" wrapText="1" indent="3"/>
    </xf>
    <xf numFmtId="167" fontId="3" fillId="38" borderId="20" xfId="1" applyNumberFormat="1" applyFont="1" applyFill="1" applyBorder="1"/>
    <xf numFmtId="0" fontId="0" fillId="3" borderId="48" xfId="0" applyFill="1" applyBorder="1" applyAlignment="1">
      <alignment horizontal="left" wrapText="1" indent="2"/>
    </xf>
    <xf numFmtId="0" fontId="3" fillId="0" borderId="29" xfId="0" applyFont="1" applyBorder="1" applyAlignment="1">
      <alignment vertical="center" wrapText="1"/>
    </xf>
    <xf numFmtId="0" fontId="3" fillId="0" borderId="28" xfId="0" applyFont="1" applyBorder="1" applyAlignment="1">
      <alignment vertical="center" wrapText="1"/>
    </xf>
    <xf numFmtId="166" fontId="3" fillId="0" borderId="28" xfId="1" applyFont="1" applyFill="1" applyBorder="1" applyAlignment="1">
      <alignment vertical="center" wrapText="1"/>
    </xf>
    <xf numFmtId="166" fontId="3" fillId="0" borderId="30" xfId="1" applyFont="1" applyFill="1" applyBorder="1" applyAlignment="1">
      <alignment vertical="center" wrapText="1"/>
    </xf>
    <xf numFmtId="167" fontId="3" fillId="0" borderId="29" xfId="1" applyNumberFormat="1" applyFont="1" applyFill="1" applyBorder="1" applyAlignment="1">
      <alignment vertical="center" wrapText="1"/>
    </xf>
    <xf numFmtId="167" fontId="3" fillId="0" borderId="28" xfId="1" applyNumberFormat="1" applyFont="1" applyFill="1" applyBorder="1" applyAlignment="1">
      <alignment vertical="center" wrapText="1"/>
    </xf>
    <xf numFmtId="167" fontId="3" fillId="0" borderId="30" xfId="1" applyNumberFormat="1" applyFont="1" applyFill="1" applyBorder="1" applyAlignment="1">
      <alignment vertical="center" wrapText="1"/>
    </xf>
    <xf numFmtId="0" fontId="3" fillId="0" borderId="36" xfId="0" applyFont="1" applyBorder="1" applyAlignment="1">
      <alignment vertical="center" wrapText="1"/>
    </xf>
    <xf numFmtId="167" fontId="3" fillId="0" borderId="62" xfId="1" applyNumberFormat="1" applyFont="1" applyBorder="1" applyAlignment="1">
      <alignment vertical="center" wrapText="1"/>
    </xf>
    <xf numFmtId="167" fontId="3" fillId="0" borderId="61" xfId="1" applyNumberFormat="1" applyFont="1" applyBorder="1" applyAlignment="1">
      <alignment vertical="center" wrapText="1"/>
    </xf>
    <xf numFmtId="167" fontId="3" fillId="0" borderId="22" xfId="1" applyNumberFormat="1" applyFont="1" applyBorder="1" applyAlignment="1">
      <alignment vertical="center" wrapText="1"/>
    </xf>
    <xf numFmtId="167" fontId="3" fillId="0" borderId="23" xfId="1" applyNumberFormat="1" applyFont="1" applyBorder="1" applyAlignment="1">
      <alignment vertical="center" wrapText="1"/>
    </xf>
    <xf numFmtId="167" fontId="3" fillId="0" borderId="22" xfId="1" applyNumberFormat="1" applyFont="1" applyFill="1" applyBorder="1" applyAlignment="1">
      <alignment horizontal="center" vertical="center" wrapText="1"/>
    </xf>
    <xf numFmtId="167" fontId="3" fillId="0" borderId="23" xfId="1" applyNumberFormat="1" applyFont="1" applyFill="1" applyBorder="1" applyAlignment="1">
      <alignment horizontal="center" vertical="center" wrapText="1"/>
    </xf>
    <xf numFmtId="167" fontId="3" fillId="0" borderId="76" xfId="1" applyNumberFormat="1" applyFont="1" applyBorder="1" applyAlignment="1">
      <alignment vertical="center" wrapText="1"/>
    </xf>
    <xf numFmtId="167" fontId="3" fillId="38" borderId="64" xfId="1" applyNumberFormat="1" applyFont="1" applyFill="1" applyBorder="1"/>
    <xf numFmtId="167" fontId="3" fillId="38" borderId="66" xfId="1" applyNumberFormat="1" applyFont="1" applyFill="1" applyBorder="1"/>
    <xf numFmtId="167" fontId="3" fillId="38" borderId="75" xfId="1" applyNumberFormat="1" applyFont="1" applyFill="1" applyBorder="1"/>
    <xf numFmtId="167" fontId="3" fillId="38" borderId="17" xfId="1" applyNumberFormat="1" applyFont="1" applyFill="1" applyBorder="1"/>
    <xf numFmtId="167" fontId="0" fillId="0" borderId="20" xfId="1" applyNumberFormat="1" applyFont="1" applyBorder="1"/>
    <xf numFmtId="167" fontId="2" fillId="0" borderId="48" xfId="1" applyNumberFormat="1" applyFont="1" applyBorder="1"/>
    <xf numFmtId="167" fontId="2" fillId="0" borderId="16" xfId="1" applyNumberFormat="1" applyFont="1" applyBorder="1"/>
    <xf numFmtId="167" fontId="2" fillId="0" borderId="22" xfId="1" applyNumberFormat="1" applyFont="1" applyBorder="1"/>
    <xf numFmtId="167" fontId="2" fillId="0" borderId="23" xfId="1" applyNumberFormat="1" applyFont="1" applyBorder="1"/>
    <xf numFmtId="167" fontId="2" fillId="0" borderId="54" xfId="1" applyNumberFormat="1" applyFont="1" applyBorder="1"/>
    <xf numFmtId="167" fontId="2" fillId="0" borderId="70" xfId="1" applyNumberFormat="1" applyFont="1" applyBorder="1"/>
    <xf numFmtId="167" fontId="3" fillId="38" borderId="42" xfId="1" applyNumberFormat="1" applyFont="1" applyFill="1" applyBorder="1"/>
    <xf numFmtId="167" fontId="3" fillId="38" borderId="39" xfId="1" applyNumberFormat="1" applyFont="1" applyFill="1" applyBorder="1"/>
    <xf numFmtId="167" fontId="3" fillId="38" borderId="65" xfId="1" applyNumberFormat="1" applyFont="1" applyFill="1" applyBorder="1"/>
    <xf numFmtId="167" fontId="3" fillId="38" borderId="5" xfId="1" applyNumberFormat="1" applyFont="1" applyFill="1" applyBorder="1"/>
    <xf numFmtId="167" fontId="3" fillId="38" borderId="41" xfId="1" applyNumberFormat="1" applyFont="1" applyFill="1" applyBorder="1"/>
    <xf numFmtId="167" fontId="0" fillId="0" borderId="44" xfId="1" applyNumberFormat="1" applyFont="1" applyBorder="1"/>
    <xf numFmtId="167" fontId="3" fillId="0" borderId="44" xfId="1" applyNumberFormat="1" applyFont="1" applyBorder="1"/>
    <xf numFmtId="167" fontId="3" fillId="0" borderId="43" xfId="1" applyNumberFormat="1" applyFont="1" applyBorder="1"/>
    <xf numFmtId="167" fontId="3" fillId="0" borderId="49" xfId="1" applyNumberFormat="1" applyFont="1" applyBorder="1"/>
    <xf numFmtId="167" fontId="0" fillId="0" borderId="4" xfId="1" applyNumberFormat="1" applyFont="1" applyBorder="1"/>
    <xf numFmtId="167" fontId="0" fillId="0" borderId="43" xfId="1" applyNumberFormat="1" applyFont="1" applyBorder="1"/>
    <xf numFmtId="167" fontId="3" fillId="4" borderId="44" xfId="1" applyNumberFormat="1" applyFont="1" applyFill="1" applyBorder="1"/>
    <xf numFmtId="167" fontId="3" fillId="4" borderId="43" xfId="1" applyNumberFormat="1" applyFont="1" applyFill="1" applyBorder="1"/>
    <xf numFmtId="167" fontId="3" fillId="4" borderId="49" xfId="1" applyNumberFormat="1" applyFont="1" applyFill="1" applyBorder="1"/>
    <xf numFmtId="167" fontId="3" fillId="4" borderId="4" xfId="1" applyNumberFormat="1" applyFont="1" applyFill="1" applyBorder="1"/>
    <xf numFmtId="167" fontId="2" fillId="3" borderId="44" xfId="1" applyNumberFormat="1" applyFont="1" applyFill="1" applyBorder="1"/>
    <xf numFmtId="167" fontId="2" fillId="3" borderId="43" xfId="1" applyNumberFormat="1" applyFont="1" applyFill="1" applyBorder="1"/>
    <xf numFmtId="167" fontId="2" fillId="3" borderId="49" xfId="1" applyNumberFormat="1" applyFont="1" applyFill="1" applyBorder="1"/>
    <xf numFmtId="167" fontId="2" fillId="3" borderId="4" xfId="1" applyNumberFormat="1" applyFont="1" applyFill="1" applyBorder="1"/>
    <xf numFmtId="167" fontId="2" fillId="0" borderId="44" xfId="1" applyNumberFormat="1" applyFont="1" applyBorder="1"/>
    <xf numFmtId="167" fontId="2" fillId="0" borderId="43" xfId="1" applyNumberFormat="1" applyFont="1" applyBorder="1"/>
    <xf numFmtId="167" fontId="2" fillId="0" borderId="49" xfId="1" applyNumberFormat="1" applyFont="1" applyBorder="1"/>
    <xf numFmtId="167" fontId="2" fillId="0" borderId="4" xfId="1" applyNumberFormat="1" applyFont="1" applyFill="1" applyBorder="1"/>
    <xf numFmtId="167" fontId="2" fillId="0" borderId="4" xfId="1" applyNumberFormat="1" applyFont="1" applyBorder="1"/>
    <xf numFmtId="167" fontId="2" fillId="0" borderId="73" xfId="1" applyNumberFormat="1" applyFont="1" applyBorder="1"/>
    <xf numFmtId="167" fontId="2" fillId="0" borderId="47" xfId="1" applyNumberFormat="1" applyFont="1" applyBorder="1"/>
    <xf numFmtId="167" fontId="2" fillId="0" borderId="55" xfId="1" applyNumberFormat="1" applyFont="1" applyBorder="1"/>
    <xf numFmtId="167" fontId="2" fillId="0" borderId="24" xfId="1" applyNumberFormat="1" applyFont="1" applyBorder="1"/>
    <xf numFmtId="167" fontId="2" fillId="0" borderId="72" xfId="1" applyNumberFormat="1" applyFont="1" applyFill="1" applyBorder="1"/>
    <xf numFmtId="167" fontId="2" fillId="0" borderId="72" xfId="1" applyNumberFormat="1" applyFont="1" applyBorder="1"/>
    <xf numFmtId="43" fontId="0" fillId="0" borderId="0" xfId="0" applyNumberFormat="1"/>
    <xf numFmtId="0" fontId="0" fillId="0" borderId="43" xfId="0" applyBorder="1" applyAlignment="1">
      <alignment horizontal="left" wrapText="1" indent="2"/>
    </xf>
    <xf numFmtId="167" fontId="4" fillId="0" borderId="2" xfId="1" applyNumberFormat="1" applyFont="1" applyFill="1" applyBorder="1" applyAlignment="1">
      <alignment vertical="center" wrapText="1"/>
    </xf>
    <xf numFmtId="171" fontId="3" fillId="38" borderId="2" xfId="1" applyNumberFormat="1" applyFont="1" applyFill="1" applyBorder="1" applyAlignment="1">
      <alignment vertical="center" wrapText="1"/>
    </xf>
    <xf numFmtId="171" fontId="3" fillId="38" borderId="21" xfId="1" applyNumberFormat="1" applyFont="1" applyFill="1" applyBorder="1" applyAlignment="1">
      <alignment vertical="center" wrapText="1"/>
    </xf>
    <xf numFmtId="167" fontId="2" fillId="0" borderId="44" xfId="1" applyNumberFormat="1" applyFont="1" applyFill="1" applyBorder="1"/>
    <xf numFmtId="167" fontId="2" fillId="0" borderId="49" xfId="1" applyNumberFormat="1" applyFont="1" applyFill="1" applyBorder="1"/>
    <xf numFmtId="176" fontId="37" fillId="3" borderId="2" xfId="0" applyNumberFormat="1" applyFont="1" applyFill="1" applyBorder="1"/>
    <xf numFmtId="166" fontId="37" fillId="0" borderId="2" xfId="1" applyFont="1" applyFill="1" applyBorder="1" applyAlignment="1">
      <alignment vertical="center" wrapText="1"/>
    </xf>
    <xf numFmtId="166" fontId="37" fillId="3" borderId="2" xfId="1" applyFont="1" applyFill="1" applyBorder="1" applyAlignment="1">
      <alignment vertical="center" wrapText="1"/>
    </xf>
    <xf numFmtId="176" fontId="37" fillId="0" borderId="2" xfId="0" applyNumberFormat="1" applyFont="1" applyBorder="1"/>
    <xf numFmtId="168" fontId="37" fillId="3" borderId="2" xfId="1" applyNumberFormat="1" applyFont="1" applyFill="1" applyBorder="1" applyAlignment="1">
      <alignment vertical="center" wrapText="1"/>
    </xf>
    <xf numFmtId="168" fontId="37" fillId="0" borderId="2" xfId="1" applyNumberFormat="1" applyFont="1" applyFill="1" applyBorder="1" applyAlignment="1">
      <alignment vertical="center" wrapText="1"/>
    </xf>
    <xf numFmtId="0" fontId="1" fillId="0" borderId="0" xfId="0" applyFont="1" applyAlignment="1">
      <alignment horizontal="right" vertical="center" wrapText="1"/>
    </xf>
    <xf numFmtId="0" fontId="1" fillId="0" borderId="0" xfId="0" applyFont="1" applyAlignment="1">
      <alignment horizontal="right" vertical="center"/>
    </xf>
    <xf numFmtId="9" fontId="3" fillId="4" borderId="21" xfId="3" applyFont="1" applyFill="1" applyBorder="1"/>
    <xf numFmtId="171" fontId="3" fillId="4" borderId="21" xfId="1" applyNumberFormat="1" applyFont="1" applyFill="1" applyBorder="1"/>
    <xf numFmtId="171" fontId="3" fillId="38" borderId="19" xfId="1" applyNumberFormat="1" applyFont="1" applyFill="1" applyBorder="1" applyAlignment="1">
      <alignment vertical="center" wrapText="1"/>
    </xf>
    <xf numFmtId="0" fontId="0" fillId="0" borderId="49" xfId="0" applyFill="1" applyBorder="1" applyAlignment="1">
      <alignment horizontal="left" wrapText="1" indent="3"/>
    </xf>
    <xf numFmtId="167" fontId="2" fillId="0" borderId="43" xfId="1" applyNumberFormat="1" applyFont="1" applyFill="1" applyBorder="1"/>
    <xf numFmtId="176" fontId="0" fillId="0" borderId="2" xfId="0" applyNumberFormat="1" applyFill="1" applyBorder="1"/>
    <xf numFmtId="176" fontId="2" fillId="0" borderId="2" xfId="1" applyNumberFormat="1" applyFont="1" applyFill="1" applyBorder="1"/>
    <xf numFmtId="176" fontId="2" fillId="0" borderId="21" xfId="1" applyNumberFormat="1" applyFont="1" applyFill="1" applyBorder="1"/>
    <xf numFmtId="0" fontId="0" fillId="0" borderId="20" xfId="0" applyFill="1" applyBorder="1" applyAlignment="1">
      <alignment wrapText="1"/>
    </xf>
    <xf numFmtId="0" fontId="0" fillId="0" borderId="2" xfId="0" applyFill="1" applyBorder="1" applyAlignment="1">
      <alignment wrapText="1"/>
    </xf>
    <xf numFmtId="0" fontId="0" fillId="0" borderId="21" xfId="0" applyFill="1" applyBorder="1" applyAlignment="1">
      <alignment wrapText="1"/>
    </xf>
    <xf numFmtId="0" fontId="0" fillId="0" borderId="0" xfId="0" applyFill="1" applyAlignment="1">
      <alignment wrapText="1"/>
    </xf>
    <xf numFmtId="0" fontId="0" fillId="0" borderId="0" xfId="0" applyFill="1"/>
    <xf numFmtId="9" fontId="3" fillId="38" borderId="17" xfId="3" applyNumberFormat="1" applyFont="1" applyFill="1" applyBorder="1"/>
    <xf numFmtId="0" fontId="30" fillId="3" borderId="0" xfId="0" applyFont="1" applyFill="1" applyAlignment="1" applyProtection="1">
      <alignment horizontal="center" vertical="center" wrapText="1"/>
      <protection hidden="1"/>
    </xf>
    <xf numFmtId="0" fontId="39" fillId="0" borderId="15" xfId="0" applyFont="1" applyBorder="1" applyAlignment="1" applyProtection="1">
      <alignment vertical="center"/>
      <protection hidden="1"/>
    </xf>
    <xf numFmtId="0" fontId="39" fillId="40" borderId="58" xfId="0" applyFont="1" applyFill="1" applyBorder="1" applyAlignment="1" applyProtection="1">
      <alignment horizontal="center" vertical="center" wrapText="1"/>
      <protection hidden="1"/>
    </xf>
    <xf numFmtId="0" fontId="39" fillId="0" borderId="60" xfId="0" applyFont="1" applyBorder="1" applyAlignment="1" applyProtection="1">
      <alignment vertical="center"/>
      <protection hidden="1"/>
    </xf>
    <xf numFmtId="0" fontId="38" fillId="0" borderId="0" xfId="0" applyFont="1" applyProtection="1">
      <protection hidden="1"/>
    </xf>
    <xf numFmtId="0" fontId="39" fillId="40" borderId="31" xfId="0" applyFont="1" applyFill="1" applyBorder="1" applyAlignment="1" applyProtection="1">
      <alignment wrapText="1"/>
      <protection hidden="1"/>
    </xf>
    <xf numFmtId="165" fontId="39" fillId="40" borderId="34" xfId="2" applyFont="1" applyFill="1" applyBorder="1" applyAlignment="1" applyProtection="1">
      <alignment wrapText="1"/>
      <protection hidden="1"/>
    </xf>
    <xf numFmtId="165" fontId="39" fillId="40" borderId="38" xfId="2" applyFont="1" applyFill="1" applyBorder="1" applyAlignment="1" applyProtection="1">
      <alignment wrapText="1"/>
      <protection hidden="1"/>
    </xf>
    <xf numFmtId="165" fontId="39" fillId="40" borderId="38" xfId="2" applyFont="1" applyFill="1" applyBorder="1" applyAlignment="1" applyProtection="1">
      <alignment horizontal="left" wrapText="1"/>
      <protection hidden="1"/>
    </xf>
    <xf numFmtId="165" fontId="39" fillId="40" borderId="37" xfId="2" applyFont="1" applyFill="1" applyBorder="1" applyAlignment="1" applyProtection="1">
      <alignment horizontal="left" wrapText="1"/>
      <protection hidden="1"/>
    </xf>
    <xf numFmtId="170" fontId="39" fillId="40" borderId="38" xfId="2" applyNumberFormat="1" applyFont="1" applyFill="1" applyBorder="1" applyAlignment="1" applyProtection="1">
      <alignment wrapText="1"/>
      <protection hidden="1"/>
    </xf>
    <xf numFmtId="170" fontId="39" fillId="40" borderId="38" xfId="2" applyNumberFormat="1" applyFont="1" applyFill="1" applyBorder="1" applyAlignment="1" applyProtection="1">
      <alignment horizontal="left" wrapText="1"/>
      <protection hidden="1"/>
    </xf>
    <xf numFmtId="165" fontId="39" fillId="40" borderId="37" xfId="2" applyFont="1" applyFill="1" applyBorder="1" applyAlignment="1" applyProtection="1">
      <alignment wrapText="1"/>
      <protection hidden="1"/>
    </xf>
    <xf numFmtId="165" fontId="39" fillId="40" borderId="58" xfId="2" applyFont="1" applyFill="1" applyBorder="1" applyAlignment="1" applyProtection="1">
      <alignment wrapText="1"/>
      <protection hidden="1"/>
    </xf>
    <xf numFmtId="170" fontId="39" fillId="40" borderId="59" xfId="2" applyNumberFormat="1" applyFont="1" applyFill="1" applyBorder="1" applyAlignment="1" applyProtection="1">
      <alignment horizontal="left" wrapText="1"/>
      <protection hidden="1"/>
    </xf>
    <xf numFmtId="170" fontId="39" fillId="40" borderId="60" xfId="2" applyNumberFormat="1" applyFont="1" applyFill="1" applyBorder="1" applyAlignment="1" applyProtection="1">
      <alignment horizontal="left" wrapText="1"/>
      <protection hidden="1"/>
    </xf>
    <xf numFmtId="165" fontId="39" fillId="40" borderId="59" xfId="2" applyFont="1" applyFill="1" applyBorder="1" applyAlignment="1" applyProtection="1">
      <alignment wrapText="1"/>
      <protection hidden="1"/>
    </xf>
    <xf numFmtId="165" fontId="39" fillId="40" borderId="60" xfId="2" applyFont="1" applyFill="1" applyBorder="1" applyAlignment="1" applyProtection="1">
      <alignment wrapText="1"/>
      <protection hidden="1"/>
    </xf>
    <xf numFmtId="165" fontId="39" fillId="40" borderId="34" xfId="2" applyFont="1" applyFill="1" applyBorder="1" applyAlignment="1" applyProtection="1">
      <alignment horizontal="left" wrapText="1"/>
      <protection hidden="1"/>
    </xf>
    <xf numFmtId="165" fontId="39" fillId="40" borderId="1" xfId="2" applyFont="1" applyFill="1" applyBorder="1" applyAlignment="1" applyProtection="1">
      <alignment wrapText="1"/>
      <protection hidden="1"/>
    </xf>
    <xf numFmtId="0" fontId="38" fillId="0" borderId="0" xfId="0" applyFont="1" applyAlignment="1" applyProtection="1">
      <alignment wrapText="1"/>
      <protection hidden="1"/>
    </xf>
    <xf numFmtId="0" fontId="44" fillId="6" borderId="31" xfId="0" applyFont="1" applyFill="1" applyBorder="1" applyAlignment="1" applyProtection="1">
      <alignment wrapText="1"/>
      <protection hidden="1"/>
    </xf>
    <xf numFmtId="170" fontId="44" fillId="6" borderId="34" xfId="2" applyNumberFormat="1" applyFont="1" applyFill="1" applyBorder="1" applyProtection="1">
      <protection hidden="1"/>
    </xf>
    <xf numFmtId="170" fontId="44" fillId="6" borderId="38" xfId="2" applyNumberFormat="1" applyFont="1" applyFill="1" applyBorder="1" applyProtection="1">
      <protection hidden="1"/>
    </xf>
    <xf numFmtId="170" fontId="44" fillId="6" borderId="35" xfId="2" applyNumberFormat="1" applyFont="1" applyFill="1" applyBorder="1" applyProtection="1">
      <protection hidden="1"/>
    </xf>
    <xf numFmtId="170" fontId="44" fillId="6" borderId="0" xfId="2" applyNumberFormat="1" applyFont="1" applyFill="1" applyBorder="1" applyProtection="1">
      <protection hidden="1"/>
    </xf>
    <xf numFmtId="170" fontId="44" fillId="6" borderId="1" xfId="2" applyNumberFormat="1" applyFont="1" applyFill="1" applyBorder="1" applyProtection="1">
      <protection hidden="1"/>
    </xf>
    <xf numFmtId="170" fontId="44" fillId="6" borderId="37" xfId="2" applyNumberFormat="1" applyFont="1" applyFill="1" applyBorder="1" applyProtection="1">
      <protection hidden="1"/>
    </xf>
    <xf numFmtId="165" fontId="44" fillId="6" borderId="1" xfId="2" applyFont="1" applyFill="1" applyBorder="1" applyProtection="1">
      <protection hidden="1"/>
    </xf>
    <xf numFmtId="0" fontId="39" fillId="38" borderId="32" xfId="0" applyFont="1" applyFill="1" applyBorder="1" applyAlignment="1" applyProtection="1">
      <alignment wrapText="1"/>
      <protection hidden="1"/>
    </xf>
    <xf numFmtId="170" fontId="38" fillId="38" borderId="35" xfId="2" applyNumberFormat="1" applyFont="1" applyFill="1" applyBorder="1" applyProtection="1">
      <protection hidden="1"/>
    </xf>
    <xf numFmtId="170" fontId="38" fillId="38" borderId="0" xfId="2" applyNumberFormat="1" applyFont="1" applyFill="1" applyBorder="1" applyProtection="1">
      <protection hidden="1"/>
    </xf>
    <xf numFmtId="170" fontId="38" fillId="38" borderId="1" xfId="2" applyNumberFormat="1" applyFont="1" applyFill="1" applyBorder="1" applyProtection="1">
      <protection hidden="1"/>
    </xf>
    <xf numFmtId="170" fontId="38" fillId="40" borderId="1" xfId="2" applyNumberFormat="1" applyFont="1" applyFill="1" applyBorder="1" applyProtection="1">
      <protection hidden="1"/>
    </xf>
    <xf numFmtId="0" fontId="38" fillId="3" borderId="32" xfId="0" applyFont="1" applyFill="1" applyBorder="1" applyAlignment="1" applyProtection="1">
      <alignment wrapText="1"/>
      <protection hidden="1"/>
    </xf>
    <xf numFmtId="170" fontId="38" fillId="3" borderId="35" xfId="2" applyNumberFormat="1" applyFont="1" applyFill="1" applyBorder="1" applyProtection="1">
      <protection hidden="1"/>
    </xf>
    <xf numFmtId="170" fontId="38" fillId="3" borderId="0" xfId="2" applyNumberFormat="1" applyFont="1" applyFill="1" applyBorder="1" applyProtection="1">
      <protection hidden="1"/>
    </xf>
    <xf numFmtId="170" fontId="38" fillId="3" borderId="1" xfId="2" applyNumberFormat="1" applyFont="1" applyFill="1" applyBorder="1" applyProtection="1">
      <protection hidden="1"/>
    </xf>
    <xf numFmtId="165" fontId="38" fillId="40" borderId="1" xfId="2" applyFont="1" applyFill="1" applyBorder="1" applyProtection="1">
      <protection hidden="1"/>
    </xf>
    <xf numFmtId="0" fontId="38" fillId="0" borderId="32" xfId="0" applyFont="1" applyBorder="1" applyAlignment="1" applyProtection="1">
      <alignment wrapText="1"/>
      <protection hidden="1"/>
    </xf>
    <xf numFmtId="170" fontId="38" fillId="0" borderId="35" xfId="2" applyNumberFormat="1" applyFont="1" applyFill="1" applyBorder="1" applyProtection="1">
      <protection hidden="1"/>
    </xf>
    <xf numFmtId="170" fontId="38" fillId="0" borderId="0" xfId="2" applyNumberFormat="1" applyFont="1" applyFill="1" applyBorder="1" applyProtection="1">
      <protection hidden="1"/>
    </xf>
    <xf numFmtId="170" fontId="38" fillId="0" borderId="1" xfId="0" applyNumberFormat="1" applyFont="1" applyBorder="1" applyProtection="1">
      <protection hidden="1"/>
    </xf>
    <xf numFmtId="170" fontId="38" fillId="0" borderId="1" xfId="2" applyNumberFormat="1" applyFont="1" applyFill="1" applyBorder="1" applyProtection="1">
      <protection hidden="1"/>
    </xf>
    <xf numFmtId="0" fontId="38" fillId="40" borderId="32" xfId="0" applyFont="1" applyFill="1" applyBorder="1" applyAlignment="1" applyProtection="1">
      <alignment wrapText="1"/>
      <protection hidden="1"/>
    </xf>
    <xf numFmtId="170" fontId="38" fillId="40" borderId="35" xfId="2" applyNumberFormat="1" applyFont="1" applyFill="1" applyBorder="1" applyProtection="1">
      <protection hidden="1"/>
    </xf>
    <xf numFmtId="170" fontId="38" fillId="40" borderId="0" xfId="2" applyNumberFormat="1" applyFont="1" applyFill="1" applyBorder="1" applyProtection="1">
      <protection hidden="1"/>
    </xf>
    <xf numFmtId="170" fontId="38" fillId="40" borderId="1" xfId="0" applyNumberFormat="1" applyFont="1" applyFill="1" applyBorder="1" applyProtection="1">
      <protection hidden="1"/>
    </xf>
    <xf numFmtId="170" fontId="43" fillId="40" borderId="0" xfId="2" applyNumberFormat="1" applyFont="1" applyFill="1" applyBorder="1" applyProtection="1">
      <protection hidden="1"/>
    </xf>
    <xf numFmtId="170" fontId="42" fillId="40" borderId="0" xfId="0" applyNumberFormat="1" applyFont="1" applyFill="1" applyAlignment="1" applyProtection="1">
      <alignment horizontal="right" vertical="center"/>
      <protection hidden="1"/>
    </xf>
    <xf numFmtId="170" fontId="41" fillId="40" borderId="0" xfId="2" applyNumberFormat="1" applyFont="1" applyFill="1" applyBorder="1" applyProtection="1">
      <protection hidden="1"/>
    </xf>
    <xf numFmtId="165" fontId="38" fillId="40" borderId="35" xfId="2" applyFont="1" applyFill="1" applyBorder="1" applyProtection="1">
      <protection hidden="1"/>
    </xf>
    <xf numFmtId="170" fontId="38" fillId="5" borderId="35" xfId="2" applyNumberFormat="1" applyFont="1" applyFill="1" applyBorder="1" applyProtection="1">
      <protection hidden="1"/>
    </xf>
    <xf numFmtId="170" fontId="40" fillId="0" borderId="0" xfId="0" applyNumberFormat="1" applyFont="1" applyAlignment="1" applyProtection="1">
      <alignment horizontal="right" vertical="center"/>
      <protection hidden="1"/>
    </xf>
    <xf numFmtId="165" fontId="38" fillId="0" borderId="1" xfId="2" applyFont="1" applyFill="1" applyBorder="1" applyProtection="1">
      <protection hidden="1"/>
    </xf>
    <xf numFmtId="170" fontId="40" fillId="40" borderId="0" xfId="0" applyNumberFormat="1" applyFont="1" applyFill="1" applyAlignment="1" applyProtection="1">
      <alignment horizontal="right" vertical="center"/>
      <protection hidden="1"/>
    </xf>
    <xf numFmtId="170" fontId="38" fillId="0" borderId="0" xfId="2" applyNumberFormat="1" applyFont="1" applyBorder="1" applyProtection="1">
      <protection hidden="1"/>
    </xf>
    <xf numFmtId="170" fontId="38" fillId="0" borderId="35" xfId="2" applyNumberFormat="1" applyFont="1" applyBorder="1" applyProtection="1">
      <protection hidden="1"/>
    </xf>
    <xf numFmtId="170" fontId="38" fillId="0" borderId="1" xfId="2" applyNumberFormat="1" applyFont="1" applyBorder="1" applyProtection="1">
      <protection hidden="1"/>
    </xf>
    <xf numFmtId="165" fontId="38" fillId="3" borderId="35" xfId="2" applyFont="1" applyFill="1" applyBorder="1" applyProtection="1">
      <protection hidden="1"/>
    </xf>
    <xf numFmtId="165" fontId="38" fillId="3" borderId="0" xfId="2" applyFont="1" applyFill="1" applyBorder="1" applyProtection="1">
      <protection hidden="1"/>
    </xf>
    <xf numFmtId="165" fontId="38" fillId="3" borderId="1" xfId="2" applyFont="1" applyFill="1" applyBorder="1" applyProtection="1">
      <protection hidden="1"/>
    </xf>
    <xf numFmtId="165" fontId="38" fillId="40" borderId="0" xfId="2" applyFont="1" applyFill="1" applyBorder="1" applyProtection="1">
      <protection hidden="1"/>
    </xf>
    <xf numFmtId="165" fontId="38" fillId="0" borderId="0" xfId="2" applyFont="1" applyFill="1" applyBorder="1" applyProtection="1">
      <protection hidden="1"/>
    </xf>
    <xf numFmtId="165" fontId="38" fillId="38" borderId="35" xfId="2" applyFont="1" applyFill="1" applyBorder="1" applyProtection="1">
      <protection hidden="1"/>
    </xf>
    <xf numFmtId="165" fontId="38" fillId="38" borderId="0" xfId="2" applyFont="1" applyFill="1" applyBorder="1" applyProtection="1">
      <protection hidden="1"/>
    </xf>
    <xf numFmtId="165" fontId="38" fillId="38" borderId="1" xfId="2" applyFont="1" applyFill="1" applyBorder="1" applyProtection="1">
      <protection hidden="1"/>
    </xf>
    <xf numFmtId="0" fontId="38" fillId="40" borderId="33" xfId="0" applyFont="1" applyFill="1" applyBorder="1" applyProtection="1">
      <protection hidden="1"/>
    </xf>
    <xf numFmtId="170" fontId="38" fillId="40" borderId="36" xfId="2" applyNumberFormat="1" applyFont="1" applyFill="1" applyBorder="1" applyProtection="1">
      <protection hidden="1"/>
    </xf>
    <xf numFmtId="170" fontId="38" fillId="40" borderId="78" xfId="2" applyNumberFormat="1" applyFont="1" applyFill="1" applyBorder="1" applyProtection="1">
      <protection hidden="1"/>
    </xf>
    <xf numFmtId="170" fontId="38" fillId="40" borderId="74" xfId="0" applyNumberFormat="1" applyFont="1" applyFill="1" applyBorder="1" applyProtection="1">
      <protection hidden="1"/>
    </xf>
    <xf numFmtId="165" fontId="38" fillId="40" borderId="36" xfId="2" applyFont="1" applyFill="1" applyBorder="1" applyProtection="1">
      <protection hidden="1"/>
    </xf>
    <xf numFmtId="165" fontId="38" fillId="40" borderId="78" xfId="2" applyFont="1" applyFill="1" applyBorder="1" applyProtection="1">
      <protection hidden="1"/>
    </xf>
    <xf numFmtId="165" fontId="38" fillId="40" borderId="74" xfId="2" applyFont="1" applyFill="1" applyBorder="1" applyProtection="1">
      <protection hidden="1"/>
    </xf>
    <xf numFmtId="170" fontId="38" fillId="40" borderId="74" xfId="2" applyNumberFormat="1" applyFont="1" applyFill="1" applyBorder="1" applyProtection="1">
      <protection hidden="1"/>
    </xf>
    <xf numFmtId="0" fontId="4" fillId="0" borderId="0" xfId="0" applyFont="1" applyAlignment="1" applyProtection="1">
      <alignment horizontal="center" vertical="center"/>
      <protection hidden="1"/>
    </xf>
    <xf numFmtId="0" fontId="23" fillId="40" borderId="5" xfId="0" applyFont="1" applyFill="1" applyBorder="1" applyAlignment="1" applyProtection="1">
      <alignment horizontal="center" vertical="top" wrapText="1"/>
      <protection hidden="1"/>
    </xf>
    <xf numFmtId="0" fontId="23" fillId="40" borderId="5" xfId="0" applyFont="1" applyFill="1" applyBorder="1" applyAlignment="1" applyProtection="1">
      <alignment vertical="top" wrapText="1"/>
      <protection hidden="1"/>
    </xf>
    <xf numFmtId="0" fontId="23" fillId="0" borderId="5" xfId="0" applyFont="1" applyBorder="1" applyAlignment="1" applyProtection="1">
      <alignment vertical="top" wrapText="1"/>
      <protection hidden="1"/>
    </xf>
    <xf numFmtId="0" fontId="23" fillId="40" borderId="5" xfId="0" applyFont="1" applyFill="1" applyBorder="1" applyAlignment="1" applyProtection="1">
      <alignment horizontal="center" vertical="top"/>
      <protection hidden="1"/>
    </xf>
    <xf numFmtId="0" fontId="23" fillId="0" borderId="5" xfId="0" applyFont="1" applyBorder="1" applyAlignment="1" applyProtection="1">
      <alignment horizontal="left" vertical="top" wrapText="1"/>
      <protection hidden="1"/>
    </xf>
    <xf numFmtId="0" fontId="0" fillId="0" borderId="0" xfId="0" applyAlignment="1" applyProtection="1">
      <alignment vertical="top"/>
      <protection hidden="1"/>
    </xf>
    <xf numFmtId="0" fontId="23" fillId="40" borderId="4" xfId="0" applyFont="1" applyFill="1" applyBorder="1" applyAlignment="1" applyProtection="1">
      <alignment horizontal="center" vertical="top" wrapText="1"/>
      <protection hidden="1"/>
    </xf>
    <xf numFmtId="0" fontId="23" fillId="40" borderId="4" xfId="0" applyFont="1" applyFill="1" applyBorder="1" applyAlignment="1" applyProtection="1">
      <alignment vertical="top" wrapText="1"/>
      <protection hidden="1"/>
    </xf>
    <xf numFmtId="0" fontId="23" fillId="0" borderId="4" xfId="0" applyFont="1" applyBorder="1" applyAlignment="1" applyProtection="1">
      <alignment vertical="top" wrapText="1"/>
      <protection hidden="1"/>
    </xf>
    <xf numFmtId="0" fontId="23" fillId="40" borderId="4" xfId="0" applyFont="1" applyFill="1" applyBorder="1" applyAlignment="1" applyProtection="1">
      <alignment horizontal="center" vertical="top"/>
      <protection hidden="1"/>
    </xf>
    <xf numFmtId="0" fontId="23" fillId="0" borderId="4" xfId="0" applyFont="1" applyBorder="1" applyAlignment="1" applyProtection="1">
      <alignment horizontal="left" vertical="top" wrapText="1"/>
      <protection hidden="1"/>
    </xf>
    <xf numFmtId="0" fontId="31" fillId="40" borderId="4" xfId="0" applyFont="1" applyFill="1" applyBorder="1" applyAlignment="1" applyProtection="1">
      <alignment horizontal="center" vertical="top"/>
      <protection hidden="1"/>
    </xf>
    <xf numFmtId="0" fontId="31" fillId="40" borderId="3" xfId="0" applyFont="1" applyFill="1" applyBorder="1" applyAlignment="1" applyProtection="1">
      <alignment horizontal="center" vertical="top"/>
      <protection hidden="1"/>
    </xf>
    <xf numFmtId="0" fontId="23" fillId="0" borderId="3" xfId="0" applyFont="1" applyBorder="1" applyAlignment="1" applyProtection="1">
      <alignment horizontal="left" vertical="top" wrapText="1"/>
      <protection hidden="1"/>
    </xf>
    <xf numFmtId="0" fontId="31" fillId="40" borderId="0" xfId="0" applyFont="1" applyFill="1" applyAlignment="1" applyProtection="1">
      <alignment horizontal="center" vertical="top"/>
      <protection hidden="1"/>
    </xf>
    <xf numFmtId="0" fontId="23" fillId="0" borderId="0" xfId="0" applyFont="1" applyAlignment="1" applyProtection="1">
      <alignment horizontal="left" vertical="top" wrapText="1"/>
      <protection hidden="1"/>
    </xf>
    <xf numFmtId="0" fontId="31" fillId="40" borderId="5" xfId="0" applyFont="1" applyFill="1" applyBorder="1" applyAlignment="1" applyProtection="1">
      <alignment horizontal="center" vertical="top"/>
      <protection hidden="1"/>
    </xf>
    <xf numFmtId="0" fontId="4" fillId="0" borderId="0" xfId="0" applyFont="1" applyAlignment="1" applyProtection="1">
      <alignment vertical="top"/>
      <protection hidden="1"/>
    </xf>
    <xf numFmtId="0" fontId="23" fillId="40" borderId="4" xfId="0" applyFont="1" applyFill="1" applyBorder="1" applyAlignment="1" applyProtection="1">
      <alignment horizontal="left" vertical="top" wrapText="1"/>
      <protection hidden="1"/>
    </xf>
    <xf numFmtId="0" fontId="23" fillId="40" borderId="4" xfId="0" applyFont="1" applyFill="1" applyBorder="1" applyAlignment="1" applyProtection="1">
      <alignment vertical="top"/>
      <protection hidden="1"/>
    </xf>
    <xf numFmtId="0" fontId="23" fillId="40" borderId="4" xfId="0" applyFont="1" applyFill="1" applyBorder="1" applyProtection="1">
      <protection hidden="1"/>
    </xf>
    <xf numFmtId="0" fontId="23" fillId="40" borderId="0" xfId="0" applyFont="1" applyFill="1" applyProtection="1">
      <protection hidden="1"/>
    </xf>
    <xf numFmtId="43" fontId="23" fillId="40" borderId="4" xfId="43" applyFont="1" applyFill="1" applyBorder="1" applyAlignment="1" applyProtection="1">
      <alignment vertical="top"/>
      <protection hidden="1"/>
    </xf>
    <xf numFmtId="43" fontId="23" fillId="40" borderId="4" xfId="43" applyFont="1" applyFill="1" applyBorder="1" applyAlignment="1" applyProtection="1">
      <alignment horizontal="center" vertical="top" wrapText="1"/>
      <protection hidden="1"/>
    </xf>
    <xf numFmtId="43" fontId="23" fillId="40" borderId="4" xfId="43" applyFont="1" applyFill="1" applyBorder="1" applyAlignment="1" applyProtection="1">
      <alignment vertical="top" wrapText="1"/>
      <protection hidden="1"/>
    </xf>
    <xf numFmtId="43" fontId="23" fillId="0" borderId="4" xfId="43" applyFont="1" applyFill="1" applyBorder="1" applyAlignment="1" applyProtection="1">
      <alignment vertical="top" wrapText="1"/>
      <protection hidden="1"/>
    </xf>
    <xf numFmtId="0" fontId="23" fillId="40" borderId="4" xfId="0" applyFont="1" applyFill="1" applyBorder="1" applyAlignment="1" applyProtection="1">
      <alignment horizontal="left" vertical="center" wrapText="1"/>
      <protection hidden="1"/>
    </xf>
    <xf numFmtId="0" fontId="23" fillId="40" borderId="0" xfId="0" applyFont="1" applyFill="1" applyAlignment="1" applyProtection="1">
      <alignment horizontal="center" vertical="top"/>
      <protection hidden="1"/>
    </xf>
    <xf numFmtId="9" fontId="23" fillId="0" borderId="4" xfId="0" applyNumberFormat="1" applyFont="1" applyBorder="1" applyAlignment="1" applyProtection="1">
      <alignment horizontal="left" vertical="top" wrapText="1"/>
      <protection hidden="1"/>
    </xf>
    <xf numFmtId="0" fontId="31" fillId="0" borderId="4" xfId="0" applyFont="1" applyBorder="1" applyAlignment="1" applyProtection="1">
      <alignment horizontal="left" vertical="top" wrapText="1"/>
      <protection hidden="1"/>
    </xf>
    <xf numFmtId="0" fontId="23" fillId="0" borderId="0" xfId="0" applyFont="1" applyAlignment="1" applyProtection="1">
      <alignment horizontal="center" vertical="top" wrapText="1"/>
      <protection hidden="1"/>
    </xf>
    <xf numFmtId="0" fontId="23" fillId="0" borderId="0" xfId="0" applyFont="1" applyAlignment="1" applyProtection="1">
      <alignment vertical="top" wrapText="1"/>
      <protection hidden="1"/>
    </xf>
    <xf numFmtId="0" fontId="31" fillId="0" borderId="0" xfId="0" applyFont="1" applyAlignment="1" applyProtection="1">
      <alignment vertical="top" wrapText="1"/>
      <protection hidden="1"/>
    </xf>
    <xf numFmtId="0" fontId="31" fillId="0" borderId="0" xfId="0" applyFont="1" applyAlignment="1" applyProtection="1">
      <alignment horizontal="center" vertical="top"/>
      <protection hidden="1"/>
    </xf>
    <xf numFmtId="0" fontId="31" fillId="0" borderId="0" xfId="0" applyFont="1" applyAlignment="1" applyProtection="1">
      <alignment horizontal="left" vertical="top" wrapText="1"/>
      <protection hidden="1"/>
    </xf>
    <xf numFmtId="0" fontId="1" fillId="0" borderId="0" xfId="0" applyFont="1" applyProtection="1">
      <protection hidden="1"/>
    </xf>
    <xf numFmtId="49" fontId="35" fillId="0" borderId="0" xfId="0" applyNumberFormat="1" applyFont="1" applyAlignment="1" applyProtection="1">
      <alignment horizontal="center" vertical="center" wrapText="1"/>
      <protection hidden="1"/>
    </xf>
    <xf numFmtId="0" fontId="1" fillId="0" borderId="52" xfId="0" applyFont="1" applyBorder="1" applyAlignment="1" applyProtection="1">
      <alignment textRotation="45" wrapText="1"/>
      <protection hidden="1"/>
    </xf>
    <xf numFmtId="0" fontId="1" fillId="0" borderId="53" xfId="0" applyFont="1" applyBorder="1" applyAlignment="1" applyProtection="1">
      <alignment textRotation="45" wrapText="1"/>
      <protection hidden="1"/>
    </xf>
    <xf numFmtId="0" fontId="1" fillId="0" borderId="50" xfId="0" applyFont="1" applyBorder="1" applyAlignment="1" applyProtection="1">
      <alignment textRotation="45" wrapText="1"/>
      <protection hidden="1"/>
    </xf>
    <xf numFmtId="0" fontId="35" fillId="4" borderId="17" xfId="0" applyFont="1" applyFill="1" applyBorder="1" applyAlignment="1" applyProtection="1">
      <alignment wrapText="1"/>
      <protection hidden="1"/>
    </xf>
    <xf numFmtId="167" fontId="35" fillId="4" borderId="18" xfId="1" applyNumberFormat="1" applyFont="1" applyFill="1" applyBorder="1" applyProtection="1">
      <protection hidden="1"/>
    </xf>
    <xf numFmtId="166" fontId="35" fillId="4" borderId="18" xfId="1" applyFont="1" applyFill="1" applyBorder="1" applyProtection="1">
      <protection hidden="1"/>
    </xf>
    <xf numFmtId="171" fontId="35" fillId="4" borderId="18" xfId="1" applyNumberFormat="1" applyFont="1" applyFill="1" applyBorder="1" applyProtection="1">
      <protection hidden="1"/>
    </xf>
    <xf numFmtId="167" fontId="35" fillId="4" borderId="19" xfId="1" applyNumberFormat="1" applyFont="1" applyFill="1" applyBorder="1" applyProtection="1">
      <protection hidden="1"/>
    </xf>
    <xf numFmtId="0" fontId="35" fillId="0" borderId="0" xfId="0" applyFont="1" applyProtection="1">
      <protection hidden="1"/>
    </xf>
    <xf numFmtId="167" fontId="35" fillId="0" borderId="0" xfId="0" applyNumberFormat="1" applyFont="1" applyProtection="1">
      <protection hidden="1"/>
    </xf>
    <xf numFmtId="0" fontId="35" fillId="3" borderId="20" xfId="0" applyFont="1" applyFill="1" applyBorder="1" applyAlignment="1" applyProtection="1">
      <alignment wrapText="1"/>
      <protection hidden="1"/>
    </xf>
    <xf numFmtId="167" fontId="35" fillId="3" borderId="2" xfId="1" applyNumberFormat="1" applyFont="1" applyFill="1" applyBorder="1" applyProtection="1">
      <protection hidden="1"/>
    </xf>
    <xf numFmtId="166" fontId="35" fillId="3" borderId="2" xfId="1" applyFont="1" applyFill="1" applyBorder="1" applyProtection="1">
      <protection hidden="1"/>
    </xf>
    <xf numFmtId="167" fontId="35" fillId="3" borderId="21" xfId="1" applyNumberFormat="1" applyFont="1" applyFill="1" applyBorder="1" applyProtection="1">
      <protection hidden="1"/>
    </xf>
    <xf numFmtId="0" fontId="1" fillId="0" borderId="20" xfId="0" applyFont="1" applyBorder="1" applyAlignment="1" applyProtection="1">
      <alignment horizontal="left" wrapText="1" indent="1"/>
      <protection hidden="1"/>
    </xf>
    <xf numFmtId="167" fontId="1" fillId="0" borderId="2" xfId="1" applyNumberFormat="1" applyFont="1" applyFill="1" applyBorder="1" applyProtection="1">
      <protection hidden="1"/>
    </xf>
    <xf numFmtId="166" fontId="1" fillId="0" borderId="2" xfId="1" applyFont="1" applyBorder="1" applyProtection="1">
      <protection hidden="1"/>
    </xf>
    <xf numFmtId="167" fontId="1" fillId="40" borderId="2" xfId="1" applyNumberFormat="1" applyFont="1" applyFill="1" applyBorder="1" applyProtection="1">
      <protection hidden="1"/>
    </xf>
    <xf numFmtId="166" fontId="1" fillId="0" borderId="2" xfId="1" applyFont="1" applyFill="1" applyBorder="1" applyProtection="1">
      <protection hidden="1"/>
    </xf>
    <xf numFmtId="167" fontId="1" fillId="0" borderId="21" xfId="1" applyNumberFormat="1" applyFont="1" applyFill="1" applyBorder="1" applyProtection="1">
      <protection hidden="1"/>
    </xf>
    <xf numFmtId="0" fontId="1" fillId="3" borderId="20" xfId="0" applyFont="1" applyFill="1" applyBorder="1" applyAlignment="1" applyProtection="1">
      <alignment horizontal="left" wrapText="1" indent="1"/>
      <protection hidden="1"/>
    </xf>
    <xf numFmtId="167" fontId="1" fillId="3" borderId="2" xfId="1" applyNumberFormat="1" applyFont="1" applyFill="1" applyBorder="1" applyProtection="1">
      <protection hidden="1"/>
    </xf>
    <xf numFmtId="166" fontId="1" fillId="3" borderId="2" xfId="1" applyFont="1" applyFill="1" applyBorder="1" applyProtection="1">
      <protection hidden="1"/>
    </xf>
    <xf numFmtId="167" fontId="1" fillId="3" borderId="21" xfId="1" applyNumberFormat="1" applyFont="1" applyFill="1" applyBorder="1" applyProtection="1">
      <protection hidden="1"/>
    </xf>
    <xf numFmtId="0" fontId="1" fillId="40" borderId="20" xfId="0" applyFont="1" applyFill="1" applyBorder="1" applyAlignment="1" applyProtection="1">
      <alignment horizontal="left" wrapText="1" indent="2"/>
      <protection hidden="1"/>
    </xf>
    <xf numFmtId="166" fontId="1" fillId="40" borderId="2" xfId="1" applyFont="1" applyFill="1" applyBorder="1" applyProtection="1">
      <protection hidden="1"/>
    </xf>
    <xf numFmtId="167" fontId="1" fillId="40" borderId="21" xfId="1" applyNumberFormat="1" applyFont="1" applyFill="1" applyBorder="1" applyProtection="1">
      <protection hidden="1"/>
    </xf>
    <xf numFmtId="0" fontId="1" fillId="0" borderId="20" xfId="0" applyFont="1" applyBorder="1" applyAlignment="1" applyProtection="1">
      <alignment horizontal="left" wrapText="1" indent="2"/>
      <protection hidden="1"/>
    </xf>
    <xf numFmtId="0" fontId="35" fillId="4" borderId="20" xfId="0" applyFont="1" applyFill="1" applyBorder="1" applyAlignment="1" applyProtection="1">
      <alignment wrapText="1"/>
      <protection hidden="1"/>
    </xf>
    <xf numFmtId="167" fontId="35" fillId="4" borderId="2" xfId="1" applyNumberFormat="1" applyFont="1" applyFill="1" applyBorder="1" applyProtection="1">
      <protection hidden="1"/>
    </xf>
    <xf numFmtId="166" fontId="35" fillId="4" borderId="2" xfId="1" applyFont="1" applyFill="1" applyBorder="1" applyProtection="1">
      <protection hidden="1"/>
    </xf>
    <xf numFmtId="167" fontId="35" fillId="4" borderId="21" xfId="1" applyNumberFormat="1" applyFont="1" applyFill="1" applyBorder="1" applyProtection="1">
      <protection hidden="1"/>
    </xf>
    <xf numFmtId="0" fontId="1" fillId="40" borderId="20" xfId="0" applyFont="1" applyFill="1" applyBorder="1" applyAlignment="1" applyProtection="1">
      <alignment wrapText="1"/>
      <protection hidden="1"/>
    </xf>
    <xf numFmtId="167" fontId="35" fillId="40" borderId="2" xfId="1" applyNumberFormat="1" applyFont="1" applyFill="1" applyBorder="1" applyProtection="1">
      <protection hidden="1"/>
    </xf>
    <xf numFmtId="166" fontId="35" fillId="40" borderId="2" xfId="1" applyFont="1" applyFill="1" applyBorder="1" applyProtection="1">
      <protection hidden="1"/>
    </xf>
    <xf numFmtId="0" fontId="35" fillId="40" borderId="0" xfId="0" applyFont="1" applyFill="1" applyProtection="1">
      <protection hidden="1"/>
    </xf>
    <xf numFmtId="0" fontId="1" fillId="39" borderId="20" xfId="0" applyFont="1" applyFill="1" applyBorder="1" applyAlignment="1" applyProtection="1">
      <alignment horizontal="left" wrapText="1" indent="2"/>
      <protection hidden="1"/>
    </xf>
    <xf numFmtId="0" fontId="1" fillId="3" borderId="20" xfId="0" applyFont="1" applyFill="1" applyBorder="1" applyAlignment="1" applyProtection="1">
      <alignment horizontal="left" wrapText="1" indent="2"/>
      <protection hidden="1"/>
    </xf>
    <xf numFmtId="0" fontId="1" fillId="0" borderId="20" xfId="0" applyFont="1" applyBorder="1" applyAlignment="1" applyProtection="1">
      <alignment horizontal="left" wrapText="1" indent="3"/>
      <protection hidden="1"/>
    </xf>
    <xf numFmtId="167" fontId="1" fillId="0" borderId="2" xfId="1" applyNumberFormat="1" applyFont="1" applyFill="1" applyBorder="1" applyAlignment="1" applyProtection="1">
      <alignment horizontal="left" indent="2"/>
      <protection hidden="1"/>
    </xf>
    <xf numFmtId="0" fontId="3" fillId="0" borderId="31" xfId="0" applyFont="1" applyBorder="1" applyAlignment="1" applyProtection="1">
      <alignment vertical="center" wrapText="1"/>
      <protection hidden="1"/>
    </xf>
    <xf numFmtId="0" fontId="3" fillId="0" borderId="0" xfId="0" applyFont="1" applyAlignment="1" applyProtection="1">
      <alignment vertical="center" wrapText="1"/>
      <protection hidden="1"/>
    </xf>
    <xf numFmtId="0" fontId="3" fillId="0" borderId="0" xfId="0" applyFont="1" applyAlignment="1" applyProtection="1">
      <alignment vertical="center"/>
      <protection hidden="1"/>
    </xf>
    <xf numFmtId="0" fontId="3" fillId="0" borderId="36" xfId="0" applyFont="1" applyBorder="1" applyAlignment="1" applyProtection="1">
      <alignment vertical="center" wrapText="1"/>
      <protection hidden="1"/>
    </xf>
    <xf numFmtId="0" fontId="3" fillId="0" borderId="34" xfId="0" applyFont="1" applyBorder="1" applyAlignment="1" applyProtection="1">
      <alignment horizontal="center" vertical="center" wrapText="1"/>
      <protection hidden="1"/>
    </xf>
    <xf numFmtId="167" fontId="3" fillId="0" borderId="62" xfId="1" applyNumberFormat="1" applyFont="1" applyBorder="1" applyAlignment="1" applyProtection="1">
      <alignment vertical="center" wrapText="1"/>
      <protection hidden="1"/>
    </xf>
    <xf numFmtId="167" fontId="3" fillId="0" borderId="61" xfId="1" applyNumberFormat="1" applyFont="1" applyBorder="1" applyAlignment="1" applyProtection="1">
      <alignment vertical="center" wrapText="1"/>
      <protection hidden="1"/>
    </xf>
    <xf numFmtId="167" fontId="3" fillId="0" borderId="76" xfId="1" applyNumberFormat="1" applyFont="1" applyBorder="1" applyAlignment="1" applyProtection="1">
      <alignment vertical="center" wrapText="1"/>
      <protection hidden="1"/>
    </xf>
    <xf numFmtId="167" fontId="3" fillId="0" borderId="22" xfId="1" applyNumberFormat="1" applyFont="1" applyBorder="1" applyAlignment="1" applyProtection="1">
      <alignment vertical="center" wrapText="1"/>
      <protection hidden="1"/>
    </xf>
    <xf numFmtId="167" fontId="3" fillId="0" borderId="23" xfId="1" applyNumberFormat="1" applyFont="1" applyBorder="1" applyAlignment="1" applyProtection="1">
      <alignment vertical="center" wrapText="1"/>
      <protection hidden="1"/>
    </xf>
    <xf numFmtId="167" fontId="3" fillId="0" borderId="22" xfId="1" applyNumberFormat="1" applyFont="1" applyFill="1" applyBorder="1" applyAlignment="1" applyProtection="1">
      <alignment horizontal="center" vertical="center" wrapText="1"/>
      <protection hidden="1"/>
    </xf>
    <xf numFmtId="167" fontId="3" fillId="0" borderId="23" xfId="1" applyNumberFormat="1" applyFont="1" applyFill="1" applyBorder="1" applyAlignment="1" applyProtection="1">
      <alignment horizontal="center" vertical="center" wrapText="1"/>
      <protection hidden="1"/>
    </xf>
    <xf numFmtId="0" fontId="3" fillId="0" borderId="35" xfId="0" applyFont="1" applyBorder="1" applyAlignment="1" applyProtection="1">
      <alignment vertical="center" wrapText="1"/>
      <protection hidden="1"/>
    </xf>
    <xf numFmtId="0" fontId="3" fillId="0" borderId="27" xfId="0" applyFont="1" applyBorder="1" applyAlignment="1" applyProtection="1">
      <alignment vertical="center" wrapText="1"/>
      <protection hidden="1"/>
    </xf>
    <xf numFmtId="0" fontId="3" fillId="0" borderId="26" xfId="0" applyFont="1" applyBorder="1" applyAlignment="1" applyProtection="1">
      <alignment vertical="center" wrapText="1"/>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horizontal="center" vertical="center" wrapText="1"/>
      <protection hidden="1"/>
    </xf>
    <xf numFmtId="167" fontId="3" fillId="38" borderId="40" xfId="1" applyNumberFormat="1" applyFont="1" applyFill="1" applyBorder="1" applyProtection="1">
      <protection hidden="1"/>
    </xf>
    <xf numFmtId="167" fontId="3" fillId="38" borderId="64" xfId="1" applyNumberFormat="1" applyFont="1" applyFill="1" applyBorder="1" applyProtection="1">
      <protection hidden="1"/>
    </xf>
    <xf numFmtId="167" fontId="3" fillId="38" borderId="66" xfId="1" applyNumberFormat="1" applyFont="1" applyFill="1" applyBorder="1" applyProtection="1">
      <protection hidden="1"/>
    </xf>
    <xf numFmtId="167" fontId="3" fillId="38" borderId="75" xfId="1" applyNumberFormat="1" applyFont="1" applyFill="1" applyBorder="1" applyProtection="1">
      <protection hidden="1"/>
    </xf>
    <xf numFmtId="167" fontId="3" fillId="38" borderId="17" xfId="1" applyNumberFormat="1" applyFont="1" applyFill="1" applyBorder="1" applyProtection="1">
      <protection hidden="1"/>
    </xf>
    <xf numFmtId="167" fontId="3" fillId="38" borderId="56" xfId="1" applyNumberFormat="1" applyFont="1" applyFill="1" applyBorder="1" applyProtection="1">
      <protection hidden="1"/>
    </xf>
    <xf numFmtId="167" fontId="3" fillId="38" borderId="42" xfId="1" applyNumberFormat="1" applyFont="1" applyFill="1" applyBorder="1" applyProtection="1">
      <protection hidden="1"/>
    </xf>
    <xf numFmtId="167" fontId="3" fillId="38" borderId="39" xfId="1" applyNumberFormat="1" applyFont="1" applyFill="1" applyBorder="1" applyProtection="1">
      <protection hidden="1"/>
    </xf>
    <xf numFmtId="167" fontId="3" fillId="38" borderId="65" xfId="1" applyNumberFormat="1" applyFont="1" applyFill="1" applyBorder="1" applyProtection="1">
      <protection hidden="1"/>
    </xf>
    <xf numFmtId="167" fontId="3" fillId="38" borderId="5" xfId="1" applyNumberFormat="1" applyFont="1" applyFill="1" applyBorder="1" applyProtection="1">
      <protection hidden="1"/>
    </xf>
    <xf numFmtId="167" fontId="3" fillId="38" borderId="41" xfId="1" applyNumberFormat="1" applyFont="1" applyFill="1" applyBorder="1" applyProtection="1">
      <protection hidden="1"/>
    </xf>
    <xf numFmtId="178" fontId="3" fillId="38" borderId="17" xfId="3" applyNumberFormat="1" applyFont="1" applyFill="1" applyBorder="1" applyProtection="1">
      <protection hidden="1"/>
    </xf>
    <xf numFmtId="176" fontId="3" fillId="38" borderId="18" xfId="1" applyNumberFormat="1" applyFont="1" applyFill="1" applyBorder="1" applyProtection="1">
      <protection hidden="1"/>
    </xf>
    <xf numFmtId="176" fontId="3" fillId="38" borderId="19" xfId="1" applyNumberFormat="1" applyFont="1" applyFill="1" applyBorder="1" applyProtection="1">
      <protection hidden="1"/>
    </xf>
    <xf numFmtId="167" fontId="3" fillId="38" borderId="18" xfId="1" applyNumberFormat="1" applyFont="1" applyFill="1" applyBorder="1" applyProtection="1">
      <protection hidden="1"/>
    </xf>
    <xf numFmtId="167" fontId="3" fillId="38" borderId="57" xfId="1" applyNumberFormat="1" applyFont="1" applyFill="1" applyBorder="1" applyProtection="1">
      <protection hidden="1"/>
    </xf>
    <xf numFmtId="0" fontId="0" fillId="0" borderId="17" xfId="0" applyBorder="1" applyAlignment="1" applyProtection="1">
      <alignment wrapText="1"/>
      <protection hidden="1"/>
    </xf>
    <xf numFmtId="0" fontId="0" fillId="0" borderId="18" xfId="0" applyBorder="1" applyAlignment="1" applyProtection="1">
      <alignment wrapText="1"/>
      <protection hidden="1"/>
    </xf>
    <xf numFmtId="0" fontId="0" fillId="0" borderId="19" xfId="0" applyBorder="1" applyAlignment="1" applyProtection="1">
      <alignment wrapText="1"/>
      <protection hidden="1"/>
    </xf>
    <xf numFmtId="0" fontId="0" fillId="0" borderId="0" xfId="0" applyAlignment="1" applyProtection="1">
      <alignment wrapText="1"/>
      <protection hidden="1"/>
    </xf>
    <xf numFmtId="0" fontId="0" fillId="0" borderId="0" xfId="0" applyProtection="1">
      <protection hidden="1"/>
    </xf>
    <xf numFmtId="0" fontId="0" fillId="0" borderId="49" xfId="0" applyBorder="1" applyAlignment="1" applyProtection="1">
      <alignment wrapText="1"/>
      <protection hidden="1"/>
    </xf>
    <xf numFmtId="167" fontId="0" fillId="0" borderId="20" xfId="1" applyNumberFormat="1" applyFont="1" applyBorder="1" applyProtection="1">
      <protection hidden="1"/>
    </xf>
    <xf numFmtId="167" fontId="0" fillId="0" borderId="2" xfId="1" applyNumberFormat="1" applyFont="1" applyBorder="1" applyProtection="1">
      <protection hidden="1"/>
    </xf>
    <xf numFmtId="167" fontId="0" fillId="0" borderId="48" xfId="1" applyNumberFormat="1" applyFont="1" applyBorder="1" applyProtection="1">
      <protection hidden="1"/>
    </xf>
    <xf numFmtId="167" fontId="2" fillId="0" borderId="48" xfId="1" applyNumberFormat="1" applyFont="1" applyBorder="1" applyProtection="1">
      <protection hidden="1"/>
    </xf>
    <xf numFmtId="167" fontId="0" fillId="0" borderId="16" xfId="1" applyNumberFormat="1" applyFont="1" applyBorder="1" applyProtection="1">
      <protection hidden="1"/>
    </xf>
    <xf numFmtId="167" fontId="3" fillId="4" borderId="48" xfId="1" applyNumberFormat="1" applyFont="1" applyFill="1" applyBorder="1" applyProtection="1">
      <protection hidden="1"/>
    </xf>
    <xf numFmtId="167" fontId="0" fillId="0" borderId="44" xfId="1" applyNumberFormat="1" applyFont="1" applyBorder="1" applyProtection="1">
      <protection hidden="1"/>
    </xf>
    <xf numFmtId="167" fontId="3" fillId="0" borderId="44" xfId="1" applyNumberFormat="1" applyFont="1" applyBorder="1" applyProtection="1">
      <protection hidden="1"/>
    </xf>
    <xf numFmtId="167" fontId="3" fillId="0" borderId="43" xfId="1" applyNumberFormat="1" applyFont="1" applyBorder="1" applyProtection="1">
      <protection hidden="1"/>
    </xf>
    <xf numFmtId="167" fontId="3" fillId="0" borderId="49" xfId="1" applyNumberFormat="1" applyFont="1" applyBorder="1" applyProtection="1">
      <protection hidden="1"/>
    </xf>
    <xf numFmtId="167" fontId="0" fillId="0" borderId="21" xfId="1" applyNumberFormat="1" applyFont="1" applyBorder="1" applyProtection="1">
      <protection hidden="1"/>
    </xf>
    <xf numFmtId="167" fontId="0" fillId="0" borderId="4" xfId="1" applyNumberFormat="1" applyFont="1" applyBorder="1" applyProtection="1">
      <protection hidden="1"/>
    </xf>
    <xf numFmtId="167" fontId="0" fillId="0" borderId="43" xfId="1" applyNumberFormat="1" applyFont="1" applyBorder="1" applyProtection="1">
      <protection hidden="1"/>
    </xf>
    <xf numFmtId="9" fontId="0" fillId="0" borderId="20" xfId="3" applyFont="1" applyFill="1" applyBorder="1" applyProtection="1">
      <protection hidden="1"/>
    </xf>
    <xf numFmtId="176" fontId="0" fillId="0" borderId="2" xfId="0" applyNumberFormat="1" applyBorder="1" applyProtection="1">
      <protection hidden="1"/>
    </xf>
    <xf numFmtId="176" fontId="0" fillId="0" borderId="2" xfId="1" applyNumberFormat="1" applyFont="1" applyBorder="1" applyProtection="1">
      <protection hidden="1"/>
    </xf>
    <xf numFmtId="176" fontId="0" fillId="0" borderId="21" xfId="1" applyNumberFormat="1" applyFont="1" applyBorder="1" applyProtection="1">
      <protection hidden="1"/>
    </xf>
    <xf numFmtId="0" fontId="0" fillId="0" borderId="20" xfId="0" applyBorder="1" applyAlignment="1" applyProtection="1">
      <alignment wrapText="1"/>
      <protection hidden="1"/>
    </xf>
    <xf numFmtId="0" fontId="0" fillId="0" borderId="2" xfId="0" applyBorder="1" applyAlignment="1" applyProtection="1">
      <alignment wrapText="1"/>
      <protection hidden="1"/>
    </xf>
    <xf numFmtId="0" fontId="0" fillId="0" borderId="21" xfId="0" applyBorder="1" applyAlignment="1" applyProtection="1">
      <alignment wrapText="1"/>
      <protection hidden="1"/>
    </xf>
    <xf numFmtId="167" fontId="2" fillId="3" borderId="48" xfId="1" applyNumberFormat="1" applyFont="1" applyFill="1" applyBorder="1" applyProtection="1">
      <protection hidden="1"/>
    </xf>
    <xf numFmtId="0" fontId="3" fillId="4" borderId="49" xfId="0" applyFont="1" applyFill="1" applyBorder="1" applyAlignment="1" applyProtection="1">
      <alignment wrapText="1"/>
      <protection hidden="1"/>
    </xf>
    <xf numFmtId="167" fontId="3" fillId="4" borderId="20" xfId="1" applyNumberFormat="1" applyFont="1" applyFill="1" applyBorder="1" applyProtection="1">
      <protection hidden="1"/>
    </xf>
    <xf numFmtId="167" fontId="3" fillId="4" borderId="2" xfId="1" applyNumberFormat="1" applyFont="1" applyFill="1" applyBorder="1" applyProtection="1">
      <protection hidden="1"/>
    </xf>
    <xf numFmtId="167" fontId="3" fillId="4" borderId="16" xfId="1" applyNumberFormat="1" applyFont="1" applyFill="1" applyBorder="1" applyProtection="1">
      <protection hidden="1"/>
    </xf>
    <xf numFmtId="167" fontId="3" fillId="4" borderId="44" xfId="1" applyNumberFormat="1" applyFont="1" applyFill="1" applyBorder="1" applyProtection="1">
      <protection hidden="1"/>
    </xf>
    <xf numFmtId="167" fontId="3" fillId="4" borderId="43" xfId="1" applyNumberFormat="1" applyFont="1" applyFill="1" applyBorder="1" applyProtection="1">
      <protection hidden="1"/>
    </xf>
    <xf numFmtId="167" fontId="3" fillId="4" borderId="49" xfId="1" applyNumberFormat="1" applyFont="1" applyFill="1" applyBorder="1" applyProtection="1">
      <protection hidden="1"/>
    </xf>
    <xf numFmtId="167" fontId="3" fillId="4" borderId="21" xfId="1" applyNumberFormat="1" applyFont="1" applyFill="1" applyBorder="1" applyProtection="1">
      <protection hidden="1"/>
    </xf>
    <xf numFmtId="167" fontId="3" fillId="4" borderId="4" xfId="1" applyNumberFormat="1" applyFont="1" applyFill="1" applyBorder="1" applyProtection="1">
      <protection hidden="1"/>
    </xf>
    <xf numFmtId="9" fontId="3" fillId="4" borderId="20" xfId="3" applyFont="1" applyFill="1" applyBorder="1" applyProtection="1">
      <protection hidden="1"/>
    </xf>
    <xf numFmtId="176" fontId="3" fillId="4" borderId="2" xfId="0" applyNumberFormat="1" applyFont="1" applyFill="1" applyBorder="1" applyProtection="1">
      <protection hidden="1"/>
    </xf>
    <xf numFmtId="176" fontId="3" fillId="4" borderId="2" xfId="1" applyNumberFormat="1" applyFont="1" applyFill="1" applyBorder="1" applyProtection="1">
      <protection hidden="1"/>
    </xf>
    <xf numFmtId="176" fontId="3" fillId="4" borderId="21" xfId="1" applyNumberFormat="1" applyFont="1" applyFill="1" applyBorder="1" applyProtection="1">
      <protection hidden="1"/>
    </xf>
    <xf numFmtId="0" fontId="3" fillId="0" borderId="0" xfId="0" applyFont="1" applyAlignment="1" applyProtection="1">
      <alignment wrapText="1"/>
      <protection hidden="1"/>
    </xf>
    <xf numFmtId="0" fontId="3" fillId="0" borderId="0" xfId="0" applyFont="1" applyProtection="1">
      <protection hidden="1"/>
    </xf>
    <xf numFmtId="0" fontId="0" fillId="3" borderId="49" xfId="0" applyFill="1" applyBorder="1" applyAlignment="1" applyProtection="1">
      <alignment horizontal="left" wrapText="1" indent="1"/>
      <protection hidden="1"/>
    </xf>
    <xf numFmtId="167" fontId="2" fillId="3" borderId="20" xfId="1" applyNumberFormat="1" applyFont="1" applyFill="1" applyBorder="1" applyProtection="1">
      <protection hidden="1"/>
    </xf>
    <xf numFmtId="167" fontId="2" fillId="3" borderId="2" xfId="1" applyNumberFormat="1" applyFont="1" applyFill="1" applyBorder="1" applyProtection="1">
      <protection hidden="1"/>
    </xf>
    <xf numFmtId="167" fontId="2" fillId="3" borderId="16" xfId="1" applyNumberFormat="1" applyFont="1" applyFill="1" applyBorder="1" applyProtection="1">
      <protection hidden="1"/>
    </xf>
    <xf numFmtId="167" fontId="2" fillId="3" borderId="44" xfId="1" applyNumberFormat="1" applyFont="1" applyFill="1" applyBorder="1" applyProtection="1">
      <protection hidden="1"/>
    </xf>
    <xf numFmtId="167" fontId="2" fillId="3" borderId="43" xfId="1" applyNumberFormat="1" applyFont="1" applyFill="1" applyBorder="1" applyProtection="1">
      <protection hidden="1"/>
    </xf>
    <xf numFmtId="167" fontId="2" fillId="3" borderId="49" xfId="1" applyNumberFormat="1" applyFont="1" applyFill="1" applyBorder="1" applyProtection="1">
      <protection hidden="1"/>
    </xf>
    <xf numFmtId="167" fontId="2" fillId="3" borderId="21" xfId="1" applyNumberFormat="1" applyFont="1" applyFill="1" applyBorder="1" applyProtection="1">
      <protection hidden="1"/>
    </xf>
    <xf numFmtId="167" fontId="2" fillId="3" borderId="4" xfId="1" applyNumberFormat="1" applyFont="1" applyFill="1" applyBorder="1" applyProtection="1">
      <protection hidden="1"/>
    </xf>
    <xf numFmtId="9" fontId="2" fillId="3" borderId="20" xfId="3" applyFont="1" applyFill="1" applyBorder="1" applyProtection="1">
      <protection hidden="1"/>
    </xf>
    <xf numFmtId="176" fontId="0" fillId="3" borderId="2" xfId="0" applyNumberFormat="1" applyFill="1" applyBorder="1" applyProtection="1">
      <protection hidden="1"/>
    </xf>
    <xf numFmtId="176" fontId="2" fillId="3" borderId="2" xfId="1" applyNumberFormat="1" applyFont="1" applyFill="1" applyBorder="1" applyProtection="1">
      <protection hidden="1"/>
    </xf>
    <xf numFmtId="176" fontId="2" fillId="3" borderId="21" xfId="1" applyNumberFormat="1" applyFont="1" applyFill="1" applyBorder="1" applyProtection="1">
      <protection hidden="1"/>
    </xf>
    <xf numFmtId="167" fontId="2" fillId="3" borderId="20" xfId="1" applyNumberFormat="1" applyFont="1" applyFill="1" applyBorder="1" applyAlignment="1" applyProtection="1">
      <alignment vertical="center"/>
      <protection hidden="1"/>
    </xf>
    <xf numFmtId="167" fontId="2" fillId="3" borderId="2" xfId="1" applyNumberFormat="1" applyFont="1" applyFill="1" applyBorder="1" applyAlignment="1" applyProtection="1">
      <alignment vertical="center"/>
      <protection hidden="1"/>
    </xf>
    <xf numFmtId="167" fontId="2" fillId="3" borderId="21" xfId="1" applyNumberFormat="1" applyFont="1" applyFill="1" applyBorder="1" applyAlignment="1" applyProtection="1">
      <alignment vertical="center"/>
      <protection hidden="1"/>
    </xf>
    <xf numFmtId="0" fontId="0" fillId="0" borderId="49" xfId="0" applyBorder="1" applyAlignment="1" applyProtection="1">
      <alignment horizontal="left" wrapText="1" indent="2"/>
      <protection hidden="1"/>
    </xf>
    <xf numFmtId="167" fontId="2" fillId="0" borderId="20" xfId="1" applyNumberFormat="1" applyFont="1" applyBorder="1" applyProtection="1">
      <protection hidden="1"/>
    </xf>
    <xf numFmtId="9" fontId="2" fillId="0" borderId="20" xfId="3" applyFont="1" applyFill="1" applyBorder="1" applyProtection="1">
      <protection hidden="1"/>
    </xf>
    <xf numFmtId="176" fontId="2" fillId="0" borderId="2" xfId="1" applyNumberFormat="1" applyFont="1" applyBorder="1" applyProtection="1">
      <protection hidden="1"/>
    </xf>
    <xf numFmtId="176" fontId="2" fillId="0" borderId="21" xfId="1" applyNumberFormat="1" applyFont="1" applyBorder="1" applyProtection="1">
      <protection hidden="1"/>
    </xf>
    <xf numFmtId="167" fontId="2" fillId="0" borderId="20" xfId="1" applyNumberFormat="1" applyFont="1" applyFill="1" applyBorder="1" applyAlignment="1" applyProtection="1">
      <alignment horizontal="center" vertical="center"/>
      <protection hidden="1"/>
    </xf>
    <xf numFmtId="9" fontId="2" fillId="0" borderId="20" xfId="3" applyFont="1" applyBorder="1" applyProtection="1">
      <protection hidden="1"/>
    </xf>
    <xf numFmtId="176" fontId="37" fillId="3" borderId="2" xfId="0" applyNumberFormat="1" applyFont="1" applyFill="1" applyBorder="1" applyProtection="1">
      <protection hidden="1"/>
    </xf>
    <xf numFmtId="167" fontId="2" fillId="0" borderId="49" xfId="1" applyNumberFormat="1" applyFont="1" applyBorder="1" applyProtection="1">
      <protection hidden="1"/>
    </xf>
    <xf numFmtId="176" fontId="37" fillId="0" borderId="2" xfId="0" applyNumberFormat="1" applyFont="1" applyBorder="1" applyProtection="1">
      <protection hidden="1"/>
    </xf>
    <xf numFmtId="9" fontId="3" fillId="4" borderId="21" xfId="3" applyFont="1" applyFill="1" applyBorder="1" applyProtection="1">
      <protection hidden="1"/>
    </xf>
    <xf numFmtId="168" fontId="3" fillId="4" borderId="21" xfId="1" applyNumberFormat="1" applyFont="1" applyFill="1" applyBorder="1" applyProtection="1">
      <protection hidden="1"/>
    </xf>
    <xf numFmtId="167" fontId="2" fillId="3" borderId="49" xfId="1" applyNumberFormat="1" applyFont="1" applyFill="1" applyBorder="1" applyAlignment="1" applyProtection="1">
      <alignment horizontal="left" wrapText="1" indent="1"/>
      <protection hidden="1"/>
    </xf>
    <xf numFmtId="167" fontId="2" fillId="0" borderId="49" xfId="1" applyNumberFormat="1" applyFont="1" applyFill="1" applyBorder="1" applyAlignment="1" applyProtection="1">
      <alignment horizontal="left" wrapText="1" indent="2"/>
      <protection hidden="1"/>
    </xf>
    <xf numFmtId="167" fontId="2" fillId="0" borderId="2" xfId="1" applyNumberFormat="1" applyFont="1" applyFill="1" applyBorder="1" applyAlignment="1" applyProtection="1">
      <alignment vertical="center"/>
      <protection hidden="1"/>
    </xf>
    <xf numFmtId="167" fontId="2" fillId="0" borderId="21" xfId="1" applyNumberFormat="1" applyFont="1" applyFill="1" applyBorder="1" applyAlignment="1" applyProtection="1">
      <alignment vertical="center"/>
      <protection hidden="1"/>
    </xf>
    <xf numFmtId="2" fontId="0" fillId="3" borderId="49" xfId="0" applyNumberFormat="1" applyFill="1" applyBorder="1" applyAlignment="1" applyProtection="1">
      <alignment horizontal="left" wrapText="1" indent="1"/>
      <protection hidden="1"/>
    </xf>
    <xf numFmtId="0" fontId="0" fillId="39" borderId="49" xfId="0" applyFill="1" applyBorder="1" applyAlignment="1" applyProtection="1">
      <alignment horizontal="left" wrapText="1" indent="2"/>
      <protection hidden="1"/>
    </xf>
    <xf numFmtId="167" fontId="2" fillId="0" borderId="2" xfId="1" applyNumberFormat="1" applyFont="1" applyBorder="1" applyProtection="1">
      <protection hidden="1"/>
    </xf>
    <xf numFmtId="167" fontId="2" fillId="0" borderId="16" xfId="1" applyNumberFormat="1" applyFont="1" applyBorder="1" applyProtection="1">
      <protection hidden="1"/>
    </xf>
    <xf numFmtId="167" fontId="2" fillId="0" borderId="44" xfId="1" applyNumberFormat="1" applyFont="1" applyBorder="1" applyProtection="1">
      <protection hidden="1"/>
    </xf>
    <xf numFmtId="167" fontId="2" fillId="0" borderId="43" xfId="1" applyNumberFormat="1" applyFont="1" applyBorder="1" applyProtection="1">
      <protection hidden="1"/>
    </xf>
    <xf numFmtId="167" fontId="2" fillId="0" borderId="21" xfId="1" applyNumberFormat="1" applyFont="1" applyBorder="1" applyProtection="1">
      <protection hidden="1"/>
    </xf>
    <xf numFmtId="167" fontId="2" fillId="0" borderId="4" xfId="1" applyNumberFormat="1" applyFont="1" applyFill="1" applyBorder="1" applyProtection="1">
      <protection hidden="1"/>
    </xf>
    <xf numFmtId="167" fontId="2" fillId="0" borderId="4" xfId="1" applyNumberFormat="1" applyFont="1" applyBorder="1" applyProtection="1">
      <protection hidden="1"/>
    </xf>
    <xf numFmtId="167" fontId="2" fillId="0" borderId="16" xfId="1" applyNumberFormat="1" applyFont="1" applyFill="1" applyBorder="1" applyProtection="1">
      <protection hidden="1"/>
    </xf>
    <xf numFmtId="167" fontId="2" fillId="0" borderId="2" xfId="1" applyNumberFormat="1" applyFont="1" applyFill="1" applyBorder="1" applyProtection="1">
      <protection hidden="1"/>
    </xf>
    <xf numFmtId="167" fontId="2" fillId="0" borderId="48" xfId="1" applyNumberFormat="1" applyFont="1" applyFill="1" applyBorder="1" applyProtection="1">
      <protection hidden="1"/>
    </xf>
    <xf numFmtId="0" fontId="0" fillId="3" borderId="49" xfId="0" applyFill="1" applyBorder="1" applyAlignment="1" applyProtection="1">
      <alignment horizontal="left" wrapText="1" indent="2"/>
      <protection hidden="1"/>
    </xf>
    <xf numFmtId="0" fontId="0" fillId="0" borderId="49" xfId="0" applyBorder="1" applyAlignment="1" applyProtection="1">
      <alignment horizontal="left" wrapText="1" indent="3"/>
      <protection hidden="1"/>
    </xf>
    <xf numFmtId="0" fontId="0" fillId="0" borderId="55" xfId="0" applyBorder="1" applyAlignment="1" applyProtection="1">
      <alignment horizontal="left" wrapText="1" indent="3"/>
      <protection hidden="1"/>
    </xf>
    <xf numFmtId="0" fontId="0" fillId="0" borderId="22" xfId="0" applyBorder="1" applyAlignment="1" applyProtection="1">
      <alignment wrapText="1"/>
      <protection hidden="1"/>
    </xf>
    <xf numFmtId="0" fontId="0" fillId="0" borderId="23" xfId="0" applyBorder="1" applyAlignment="1" applyProtection="1">
      <alignment wrapText="1"/>
      <protection hidden="1"/>
    </xf>
    <xf numFmtId="0" fontId="0" fillId="0" borderId="24" xfId="0" applyBorder="1" applyAlignment="1" applyProtection="1">
      <alignment wrapText="1"/>
      <protection hidden="1"/>
    </xf>
    <xf numFmtId="167" fontId="0" fillId="0" borderId="0" xfId="1" applyNumberFormat="1" applyFont="1" applyProtection="1">
      <protection hidden="1"/>
    </xf>
    <xf numFmtId="2" fontId="0" fillId="0" borderId="0" xfId="0" applyNumberFormat="1" applyProtection="1">
      <protection hidden="1"/>
    </xf>
    <xf numFmtId="43" fontId="0" fillId="0" borderId="0" xfId="0" applyNumberFormat="1" applyProtection="1">
      <protection hidden="1"/>
    </xf>
    <xf numFmtId="0" fontId="1" fillId="0" borderId="0" xfId="0" applyFont="1" applyAlignment="1" applyProtection="1">
      <alignment horizontal="right" vertical="center" wrapText="1"/>
      <protection hidden="1"/>
    </xf>
    <xf numFmtId="0" fontId="1" fillId="0" borderId="0" xfId="0" applyFont="1" applyAlignment="1" applyProtection="1">
      <alignment horizontal="right" vertical="center"/>
      <protection hidden="1"/>
    </xf>
    <xf numFmtId="0" fontId="3" fillId="0" borderId="51" xfId="0" applyFont="1" applyBorder="1" applyAlignment="1" applyProtection="1">
      <alignment vertical="center" wrapText="1"/>
      <protection hidden="1"/>
    </xf>
    <xf numFmtId="0" fontId="3" fillId="0" borderId="29" xfId="0" applyFont="1" applyBorder="1" applyAlignment="1" applyProtection="1">
      <alignment vertical="center" wrapText="1"/>
      <protection hidden="1"/>
    </xf>
    <xf numFmtId="0" fontId="3" fillId="0" borderId="28" xfId="0" applyFont="1" applyBorder="1" applyAlignment="1" applyProtection="1">
      <alignment vertical="center" wrapText="1"/>
      <protection hidden="1"/>
    </xf>
    <xf numFmtId="166" fontId="3" fillId="0" borderId="28" xfId="1" applyFont="1" applyFill="1" applyBorder="1" applyAlignment="1" applyProtection="1">
      <alignment vertical="center" wrapText="1"/>
      <protection hidden="1"/>
    </xf>
    <xf numFmtId="166" fontId="3" fillId="0" borderId="30" xfId="1" applyFont="1" applyFill="1" applyBorder="1" applyAlignment="1" applyProtection="1">
      <alignment vertical="center" wrapText="1"/>
      <protection hidden="1"/>
    </xf>
    <xf numFmtId="167" fontId="3" fillId="0" borderId="29" xfId="1" applyNumberFormat="1" applyFont="1" applyFill="1" applyBorder="1" applyAlignment="1" applyProtection="1">
      <alignment vertical="center" wrapText="1"/>
      <protection hidden="1"/>
    </xf>
    <xf numFmtId="167" fontId="3" fillId="0" borderId="28" xfId="1" applyNumberFormat="1" applyFont="1" applyFill="1" applyBorder="1" applyAlignment="1" applyProtection="1">
      <alignment vertical="center" wrapText="1"/>
      <protection hidden="1"/>
    </xf>
    <xf numFmtId="167" fontId="3" fillId="0" borderId="30" xfId="1" applyNumberFormat="1" applyFont="1" applyFill="1" applyBorder="1" applyAlignment="1" applyProtection="1">
      <alignment vertical="center" wrapText="1"/>
      <protection hidden="1"/>
    </xf>
    <xf numFmtId="0" fontId="3" fillId="38" borderId="39" xfId="0" applyFont="1" applyFill="1" applyBorder="1" applyAlignment="1" applyProtection="1">
      <alignment vertical="center" wrapText="1"/>
      <protection hidden="1"/>
    </xf>
    <xf numFmtId="167" fontId="3" fillId="38" borderId="17" xfId="0" applyNumberFormat="1" applyFont="1" applyFill="1" applyBorder="1" applyAlignment="1" applyProtection="1">
      <alignment vertical="center" wrapText="1"/>
      <protection hidden="1"/>
    </xf>
    <xf numFmtId="167" fontId="3" fillId="38" borderId="18" xfId="0" applyNumberFormat="1" applyFont="1" applyFill="1" applyBorder="1" applyAlignment="1" applyProtection="1">
      <alignment vertical="center" wrapText="1"/>
      <protection hidden="1"/>
    </xf>
    <xf numFmtId="171" fontId="36" fillId="38" borderId="2" xfId="1" applyNumberFormat="1" applyFont="1" applyFill="1" applyBorder="1" applyAlignment="1" applyProtection="1">
      <alignment vertical="center" wrapText="1"/>
      <protection hidden="1"/>
    </xf>
    <xf numFmtId="168" fontId="36" fillId="38" borderId="21" xfId="1" applyNumberFormat="1" applyFont="1" applyFill="1" applyBorder="1" applyAlignment="1" applyProtection="1">
      <alignment vertical="center" wrapText="1"/>
      <protection hidden="1"/>
    </xf>
    <xf numFmtId="9" fontId="3" fillId="38" borderId="18" xfId="3" applyFont="1" applyFill="1" applyBorder="1" applyAlignment="1" applyProtection="1">
      <alignment vertical="center" wrapText="1"/>
      <protection hidden="1"/>
    </xf>
    <xf numFmtId="166" fontId="3" fillId="38" borderId="18" xfId="1" applyFont="1" applyFill="1" applyBorder="1" applyAlignment="1" applyProtection="1">
      <alignment vertical="center" wrapText="1"/>
      <protection hidden="1"/>
    </xf>
    <xf numFmtId="166" fontId="3" fillId="38" borderId="19" xfId="1" applyFont="1" applyFill="1" applyBorder="1" applyAlignment="1" applyProtection="1">
      <alignment vertical="center" wrapText="1"/>
      <protection hidden="1"/>
    </xf>
    <xf numFmtId="167" fontId="3" fillId="38" borderId="17" xfId="1" applyNumberFormat="1" applyFont="1" applyFill="1" applyBorder="1" applyAlignment="1" applyProtection="1">
      <alignment vertical="center"/>
      <protection hidden="1"/>
    </xf>
    <xf numFmtId="167" fontId="3" fillId="38" borderId="18" xfId="1" applyNumberFormat="1" applyFont="1" applyFill="1" applyBorder="1" applyAlignment="1" applyProtection="1">
      <alignment vertical="center"/>
      <protection hidden="1"/>
    </xf>
    <xf numFmtId="167" fontId="3" fillId="38" borderId="19" xfId="1" applyNumberFormat="1" applyFont="1" applyFill="1" applyBorder="1" applyAlignment="1" applyProtection="1">
      <alignment vertical="center"/>
      <protection hidden="1"/>
    </xf>
    <xf numFmtId="0" fontId="3" fillId="4" borderId="43" xfId="0" applyFont="1" applyFill="1" applyBorder="1" applyAlignment="1" applyProtection="1">
      <alignment vertical="center" wrapText="1"/>
      <protection hidden="1"/>
    </xf>
    <xf numFmtId="167" fontId="3" fillId="4" borderId="20" xfId="0" applyNumberFormat="1" applyFont="1" applyFill="1" applyBorder="1" applyAlignment="1" applyProtection="1">
      <alignment vertical="center" wrapText="1"/>
      <protection hidden="1"/>
    </xf>
    <xf numFmtId="167" fontId="3" fillId="4" borderId="2" xfId="0" applyNumberFormat="1" applyFont="1" applyFill="1" applyBorder="1" applyAlignment="1" applyProtection="1">
      <alignment vertical="center" wrapText="1"/>
      <protection hidden="1"/>
    </xf>
    <xf numFmtId="171" fontId="3" fillId="4" borderId="2" xfId="1" applyNumberFormat="1" applyFont="1" applyFill="1" applyBorder="1" applyAlignment="1" applyProtection="1">
      <alignment vertical="center" wrapText="1"/>
      <protection hidden="1"/>
    </xf>
    <xf numFmtId="171" fontId="3" fillId="4" borderId="21" xfId="1" applyNumberFormat="1" applyFont="1" applyFill="1" applyBorder="1" applyAlignment="1" applyProtection="1">
      <alignment vertical="center" wrapText="1"/>
      <protection hidden="1"/>
    </xf>
    <xf numFmtId="9" fontId="3" fillId="4" borderId="2" xfId="3" applyFont="1" applyFill="1" applyBorder="1" applyAlignment="1" applyProtection="1">
      <alignment vertical="center" wrapText="1"/>
      <protection hidden="1"/>
    </xf>
    <xf numFmtId="166" fontId="3" fillId="4" borderId="2" xfId="1" applyFont="1" applyFill="1" applyBorder="1" applyAlignment="1" applyProtection="1">
      <alignment vertical="center" wrapText="1"/>
      <protection hidden="1"/>
    </xf>
    <xf numFmtId="166" fontId="3" fillId="4" borderId="21" xfId="1" applyFont="1" applyFill="1" applyBorder="1" applyAlignment="1" applyProtection="1">
      <alignment vertical="center" wrapText="1"/>
      <protection hidden="1"/>
    </xf>
    <xf numFmtId="167" fontId="2" fillId="4" borderId="20" xfId="1" applyNumberFormat="1" applyFont="1" applyFill="1" applyBorder="1" applyAlignment="1" applyProtection="1">
      <alignment vertical="center"/>
      <protection hidden="1"/>
    </xf>
    <xf numFmtId="167" fontId="2" fillId="4" borderId="2" xfId="1" applyNumberFormat="1" applyFont="1" applyFill="1" applyBorder="1" applyAlignment="1" applyProtection="1">
      <alignment vertical="center"/>
      <protection hidden="1"/>
    </xf>
    <xf numFmtId="167" fontId="2" fillId="4" borderId="21" xfId="1" applyNumberFormat="1" applyFont="1" applyFill="1" applyBorder="1" applyAlignment="1" applyProtection="1">
      <alignment vertical="center"/>
      <protection hidden="1"/>
    </xf>
    <xf numFmtId="0" fontId="0" fillId="3" borderId="43" xfId="0" applyFill="1" applyBorder="1" applyAlignment="1" applyProtection="1">
      <alignment horizontal="left" vertical="center" wrapText="1" indent="1"/>
      <protection hidden="1"/>
    </xf>
    <xf numFmtId="167" fontId="2" fillId="3" borderId="20" xfId="1" applyNumberFormat="1" applyFont="1" applyFill="1" applyBorder="1" applyAlignment="1" applyProtection="1">
      <alignment vertical="center" wrapText="1"/>
      <protection hidden="1"/>
    </xf>
    <xf numFmtId="167" fontId="2" fillId="3" borderId="2" xfId="1" applyNumberFormat="1" applyFont="1" applyFill="1" applyBorder="1" applyAlignment="1" applyProtection="1">
      <alignment vertical="center" wrapText="1"/>
      <protection hidden="1"/>
    </xf>
    <xf numFmtId="171" fontId="2" fillId="3" borderId="2" xfId="1" applyNumberFormat="1" applyFont="1" applyFill="1" applyBorder="1" applyAlignment="1" applyProtection="1">
      <alignment vertical="center" wrapText="1"/>
      <protection hidden="1"/>
    </xf>
    <xf numFmtId="171" fontId="2" fillId="3" borderId="21" xfId="1" applyNumberFormat="1" applyFont="1" applyFill="1" applyBorder="1" applyAlignment="1" applyProtection="1">
      <alignment vertical="center" wrapText="1"/>
      <protection hidden="1"/>
    </xf>
    <xf numFmtId="9" fontId="2" fillId="3" borderId="2" xfId="3" applyFont="1" applyFill="1" applyBorder="1" applyAlignment="1" applyProtection="1">
      <alignment vertical="center" wrapText="1"/>
      <protection hidden="1"/>
    </xf>
    <xf numFmtId="166" fontId="2" fillId="3" borderId="2" xfId="1" applyFont="1" applyFill="1" applyBorder="1" applyAlignment="1" applyProtection="1">
      <alignment vertical="center" wrapText="1"/>
      <protection hidden="1"/>
    </xf>
    <xf numFmtId="166" fontId="2" fillId="3" borderId="21" xfId="1" applyFont="1" applyFill="1" applyBorder="1" applyAlignment="1" applyProtection="1">
      <alignment vertical="center" wrapText="1"/>
      <protection hidden="1"/>
    </xf>
    <xf numFmtId="0" fontId="0" fillId="0" borderId="0" xfId="0" applyAlignment="1" applyProtection="1">
      <alignment vertical="center"/>
      <protection hidden="1"/>
    </xf>
    <xf numFmtId="0" fontId="0" fillId="3" borderId="0" xfId="0" applyFill="1" applyAlignment="1" applyProtection="1">
      <alignment vertical="center"/>
      <protection hidden="1"/>
    </xf>
    <xf numFmtId="0" fontId="0" fillId="0" borderId="43" xfId="0" applyBorder="1" applyAlignment="1" applyProtection="1">
      <alignment horizontal="left" vertical="center" wrapText="1" indent="2"/>
      <protection hidden="1"/>
    </xf>
    <xf numFmtId="167" fontId="2" fillId="0" borderId="20" xfId="1" applyNumberFormat="1" applyFont="1" applyFill="1" applyBorder="1" applyAlignment="1" applyProtection="1">
      <alignment vertical="center" wrapText="1"/>
      <protection hidden="1"/>
    </xf>
    <xf numFmtId="167" fontId="2" fillId="0" borderId="2" xfId="1" applyNumberFormat="1" applyFont="1" applyFill="1" applyBorder="1" applyAlignment="1" applyProtection="1">
      <alignment vertical="center" wrapText="1"/>
      <protection hidden="1"/>
    </xf>
    <xf numFmtId="171" fontId="2" fillId="0" borderId="2" xfId="1" applyNumberFormat="1" applyFont="1" applyFill="1" applyBorder="1" applyAlignment="1" applyProtection="1">
      <alignment vertical="center" wrapText="1"/>
      <protection hidden="1"/>
    </xf>
    <xf numFmtId="171" fontId="2" fillId="0" borderId="21" xfId="1" applyNumberFormat="1" applyFont="1" applyFill="1" applyBorder="1" applyAlignment="1" applyProtection="1">
      <alignment vertical="center" wrapText="1"/>
      <protection hidden="1"/>
    </xf>
    <xf numFmtId="9" fontId="2" fillId="0" borderId="2" xfId="3" applyFont="1" applyFill="1" applyBorder="1" applyAlignment="1" applyProtection="1">
      <alignment vertical="center" wrapText="1"/>
      <protection hidden="1"/>
    </xf>
    <xf numFmtId="166" fontId="2" fillId="0" borderId="2" xfId="1" applyFont="1" applyFill="1" applyBorder="1" applyAlignment="1" applyProtection="1">
      <alignment vertical="center" wrapText="1"/>
      <protection hidden="1"/>
    </xf>
    <xf numFmtId="166" fontId="2" fillId="0" borderId="21" xfId="1" applyFont="1" applyFill="1" applyBorder="1" applyAlignment="1" applyProtection="1">
      <alignment vertical="center" wrapText="1"/>
      <protection hidden="1"/>
    </xf>
    <xf numFmtId="168" fontId="37" fillId="3" borderId="2" xfId="1" applyNumberFormat="1" applyFont="1" applyFill="1" applyBorder="1" applyAlignment="1" applyProtection="1">
      <alignment vertical="center" wrapText="1"/>
      <protection hidden="1"/>
    </xf>
    <xf numFmtId="166" fontId="37" fillId="3" borderId="2" xfId="1" applyFont="1" applyFill="1" applyBorder="1" applyAlignment="1" applyProtection="1">
      <alignment vertical="center" wrapText="1"/>
      <protection hidden="1"/>
    </xf>
    <xf numFmtId="171" fontId="37" fillId="0" borderId="2" xfId="1" applyNumberFormat="1" applyFont="1" applyFill="1" applyBorder="1" applyAlignment="1" applyProtection="1">
      <alignment vertical="center" wrapText="1"/>
      <protection hidden="1"/>
    </xf>
    <xf numFmtId="166" fontId="37" fillId="0" borderId="2" xfId="1" applyFont="1" applyFill="1" applyBorder="1" applyAlignment="1" applyProtection="1">
      <alignment vertical="center" wrapText="1"/>
      <protection hidden="1"/>
    </xf>
    <xf numFmtId="167" fontId="3" fillId="4" borderId="20" xfId="1" applyNumberFormat="1" applyFont="1" applyFill="1" applyBorder="1" applyAlignment="1" applyProtection="1">
      <alignment vertical="center" wrapText="1"/>
      <protection hidden="1"/>
    </xf>
    <xf numFmtId="167" fontId="3" fillId="4" borderId="2" xfId="1" applyNumberFormat="1" applyFont="1" applyFill="1" applyBorder="1" applyAlignment="1" applyProtection="1">
      <alignment vertical="center" wrapText="1"/>
      <protection hidden="1"/>
    </xf>
    <xf numFmtId="167" fontId="0" fillId="3" borderId="20" xfId="1" applyNumberFormat="1" applyFont="1" applyFill="1" applyBorder="1" applyAlignment="1" applyProtection="1">
      <alignment vertical="center" wrapText="1"/>
      <protection hidden="1"/>
    </xf>
    <xf numFmtId="167" fontId="0" fillId="3" borderId="2" xfId="1" applyNumberFormat="1" applyFont="1" applyFill="1" applyBorder="1" applyAlignment="1" applyProtection="1">
      <alignment vertical="center" wrapText="1"/>
      <protection hidden="1"/>
    </xf>
    <xf numFmtId="171" fontId="0" fillId="3" borderId="2" xfId="1" applyNumberFormat="1" applyFont="1" applyFill="1" applyBorder="1" applyAlignment="1" applyProtection="1">
      <alignment vertical="center" wrapText="1"/>
      <protection hidden="1"/>
    </xf>
    <xf numFmtId="171" fontId="0" fillId="3" borderId="21" xfId="1" applyNumberFormat="1" applyFont="1" applyFill="1" applyBorder="1" applyAlignment="1" applyProtection="1">
      <alignment vertical="center" wrapText="1"/>
      <protection hidden="1"/>
    </xf>
    <xf numFmtId="9" fontId="0" fillId="3" borderId="2" xfId="3" applyFont="1" applyFill="1" applyBorder="1" applyAlignment="1" applyProtection="1">
      <alignment vertical="center" wrapText="1"/>
      <protection hidden="1"/>
    </xf>
    <xf numFmtId="166" fontId="0" fillId="3" borderId="2" xfId="1" applyFont="1" applyFill="1" applyBorder="1" applyAlignment="1" applyProtection="1">
      <alignment vertical="center" wrapText="1"/>
      <protection hidden="1"/>
    </xf>
    <xf numFmtId="166" fontId="0" fillId="3" borderId="21" xfId="1" applyFont="1" applyFill="1" applyBorder="1" applyAlignment="1" applyProtection="1">
      <alignment vertical="center" wrapText="1"/>
      <protection hidden="1"/>
    </xf>
    <xf numFmtId="0" fontId="0" fillId="39" borderId="43" xfId="0" applyFill="1" applyBorder="1" applyAlignment="1" applyProtection="1">
      <alignment horizontal="left" vertical="center" wrapText="1" indent="2"/>
      <protection hidden="1"/>
    </xf>
    <xf numFmtId="167" fontId="0" fillId="0" borderId="20" xfId="1" applyNumberFormat="1" applyFont="1" applyFill="1" applyBorder="1" applyAlignment="1" applyProtection="1">
      <alignment vertical="center" wrapText="1"/>
      <protection hidden="1"/>
    </xf>
    <xf numFmtId="167" fontId="0" fillId="0" borderId="2" xfId="1" applyNumberFormat="1" applyFont="1" applyFill="1" applyBorder="1" applyAlignment="1" applyProtection="1">
      <alignment vertical="center" wrapText="1"/>
      <protection hidden="1"/>
    </xf>
    <xf numFmtId="171" fontId="0" fillId="0" borderId="2" xfId="1" applyNumberFormat="1" applyFont="1" applyFill="1" applyBorder="1" applyAlignment="1" applyProtection="1">
      <alignment vertical="center" wrapText="1"/>
      <protection hidden="1"/>
    </xf>
    <xf numFmtId="171" fontId="0" fillId="0" borderId="21" xfId="1" applyNumberFormat="1" applyFont="1" applyFill="1" applyBorder="1" applyAlignment="1" applyProtection="1">
      <alignment vertical="center" wrapText="1"/>
      <protection hidden="1"/>
    </xf>
    <xf numFmtId="9" fontId="0" fillId="0" borderId="2" xfId="3" applyFont="1" applyFill="1" applyBorder="1" applyAlignment="1" applyProtection="1">
      <alignment vertical="center" wrapText="1"/>
      <protection hidden="1"/>
    </xf>
    <xf numFmtId="166" fontId="0" fillId="0" borderId="2" xfId="1" applyFont="1" applyFill="1" applyBorder="1" applyAlignment="1" applyProtection="1">
      <alignment vertical="center" wrapText="1"/>
      <protection hidden="1"/>
    </xf>
    <xf numFmtId="166" fontId="0" fillId="0" borderId="21" xfId="1" applyFont="1" applyFill="1" applyBorder="1" applyAlignment="1" applyProtection="1">
      <alignment vertical="center" wrapText="1"/>
      <protection hidden="1"/>
    </xf>
    <xf numFmtId="167" fontId="2" fillId="0" borderId="20" xfId="1" applyNumberFormat="1" applyFont="1" applyFill="1" applyBorder="1" applyProtection="1">
      <protection hidden="1"/>
    </xf>
    <xf numFmtId="167" fontId="2" fillId="0" borderId="21" xfId="1" applyNumberFormat="1" applyFont="1" applyFill="1" applyBorder="1" applyProtection="1">
      <protection hidden="1"/>
    </xf>
    <xf numFmtId="0" fontId="0" fillId="39" borderId="43" xfId="0" applyFill="1" applyBorder="1" applyAlignment="1" applyProtection="1">
      <alignment horizontal="left" wrapText="1" indent="2"/>
      <protection hidden="1"/>
    </xf>
    <xf numFmtId="0" fontId="0" fillId="0" borderId="43" xfId="0" applyBorder="1" applyAlignment="1" applyProtection="1">
      <alignment horizontal="left" wrapText="1" indent="2"/>
      <protection hidden="1"/>
    </xf>
    <xf numFmtId="0" fontId="0" fillId="3" borderId="43" xfId="0" applyFill="1" applyBorder="1" applyAlignment="1" applyProtection="1">
      <alignment horizontal="left" vertical="center" wrapText="1" indent="2"/>
      <protection hidden="1"/>
    </xf>
    <xf numFmtId="0" fontId="0" fillId="0" borderId="43" xfId="0" applyBorder="1" applyAlignment="1" applyProtection="1">
      <alignment horizontal="left" wrapText="1" indent="3"/>
      <protection hidden="1"/>
    </xf>
    <xf numFmtId="0" fontId="0" fillId="0" borderId="47" xfId="0" applyBorder="1" applyAlignment="1" applyProtection="1">
      <alignment horizontal="left" wrapText="1" indent="3"/>
      <protection hidden="1"/>
    </xf>
    <xf numFmtId="167" fontId="2" fillId="0" borderId="23" xfId="1" applyNumberFormat="1" applyFont="1" applyFill="1" applyBorder="1" applyAlignment="1" applyProtection="1">
      <alignment vertical="center" wrapText="1"/>
      <protection hidden="1"/>
    </xf>
    <xf numFmtId="9" fontId="2" fillId="0" borderId="23" xfId="3" applyFont="1" applyFill="1" applyBorder="1" applyAlignment="1" applyProtection="1">
      <alignment vertical="center" wrapText="1"/>
      <protection hidden="1"/>
    </xf>
    <xf numFmtId="0" fontId="0" fillId="0" borderId="0" xfId="0" applyAlignment="1" applyProtection="1">
      <alignment vertical="center" wrapText="1"/>
      <protection hidden="1"/>
    </xf>
    <xf numFmtId="166" fontId="0" fillId="0" borderId="0" xfId="1" applyFont="1" applyAlignment="1" applyProtection="1">
      <alignment vertical="center" wrapText="1"/>
      <protection hidden="1"/>
    </xf>
    <xf numFmtId="167" fontId="2" fillId="0" borderId="0" xfId="1" applyNumberFormat="1" applyFont="1" applyAlignment="1" applyProtection="1">
      <alignment vertical="center"/>
      <protection hidden="1"/>
    </xf>
    <xf numFmtId="0" fontId="3" fillId="4" borderId="20" xfId="0" applyFont="1" applyFill="1" applyBorder="1" applyAlignment="1" applyProtection="1">
      <alignment vertical="center" wrapText="1"/>
      <protection hidden="1"/>
    </xf>
    <xf numFmtId="167" fontId="3" fillId="4" borderId="16" xfId="0" applyNumberFormat="1" applyFont="1" applyFill="1" applyBorder="1" applyAlignment="1" applyProtection="1">
      <alignment vertical="center" wrapText="1"/>
      <protection hidden="1"/>
    </xf>
    <xf numFmtId="166" fontId="3" fillId="4" borderId="16" xfId="1" applyFont="1" applyFill="1" applyBorder="1" applyAlignment="1" applyProtection="1">
      <alignment vertical="center" wrapText="1"/>
      <protection hidden="1"/>
    </xf>
    <xf numFmtId="0" fontId="3" fillId="4" borderId="16" xfId="0" applyFont="1" applyFill="1" applyBorder="1" applyAlignment="1" applyProtection="1">
      <alignment vertical="center" wrapText="1"/>
      <protection hidden="1"/>
    </xf>
    <xf numFmtId="0" fontId="0" fillId="3" borderId="20" xfId="0" applyFill="1" applyBorder="1" applyAlignment="1" applyProtection="1">
      <alignment vertical="center" wrapText="1"/>
      <protection hidden="1"/>
    </xf>
    <xf numFmtId="167" fontId="0" fillId="3" borderId="16" xfId="1" applyNumberFormat="1" applyFont="1" applyFill="1" applyBorder="1" applyAlignment="1" applyProtection="1">
      <alignment vertical="center" wrapText="1"/>
      <protection hidden="1"/>
    </xf>
    <xf numFmtId="166" fontId="0" fillId="3" borderId="16" xfId="1" applyFont="1" applyFill="1" applyBorder="1" applyAlignment="1" applyProtection="1">
      <alignment vertical="center" wrapText="1"/>
      <protection hidden="1"/>
    </xf>
    <xf numFmtId="0" fontId="0" fillId="3" borderId="16" xfId="0" applyFill="1" applyBorder="1" applyAlignment="1" applyProtection="1">
      <alignment vertical="center" wrapText="1"/>
      <protection hidden="1"/>
    </xf>
    <xf numFmtId="0" fontId="0" fillId="0" borderId="20" xfId="0" applyBorder="1" applyAlignment="1" applyProtection="1">
      <alignment vertical="center" wrapText="1"/>
      <protection hidden="1"/>
    </xf>
    <xf numFmtId="167" fontId="0" fillId="0" borderId="16" xfId="1" applyNumberFormat="1" applyFont="1" applyFill="1" applyBorder="1" applyAlignment="1" applyProtection="1">
      <alignment vertical="center" wrapText="1"/>
      <protection hidden="1"/>
    </xf>
    <xf numFmtId="166" fontId="0" fillId="0" borderId="16" xfId="1" applyFont="1" applyFill="1" applyBorder="1" applyAlignment="1" applyProtection="1">
      <alignment vertical="center" wrapText="1"/>
      <protection hidden="1"/>
    </xf>
    <xf numFmtId="0" fontId="0" fillId="0" borderId="16" xfId="0" applyBorder="1" applyAlignment="1" applyProtection="1">
      <alignment vertical="center" wrapText="1"/>
      <protection hidden="1"/>
    </xf>
    <xf numFmtId="167" fontId="2" fillId="0" borderId="2" xfId="1" applyNumberFormat="1" applyFont="1" applyFill="1" applyBorder="1" applyAlignment="1" applyProtection="1">
      <alignment horizontal="center" vertical="center"/>
      <protection hidden="1"/>
    </xf>
    <xf numFmtId="167" fontId="3" fillId="4" borderId="16" xfId="1" applyNumberFormat="1" applyFont="1" applyFill="1" applyBorder="1" applyAlignment="1" applyProtection="1">
      <alignment vertical="center" wrapText="1"/>
      <protection hidden="1"/>
    </xf>
    <xf numFmtId="167" fontId="3" fillId="4" borderId="2" xfId="1" applyNumberFormat="1" applyFont="1" applyFill="1" applyBorder="1" applyAlignment="1" applyProtection="1">
      <alignment vertical="center"/>
      <protection hidden="1"/>
    </xf>
    <xf numFmtId="0" fontId="0" fillId="2" borderId="20" xfId="0" applyFill="1" applyBorder="1" applyAlignment="1" applyProtection="1">
      <alignment vertical="center" wrapText="1"/>
      <protection hidden="1"/>
    </xf>
    <xf numFmtId="167" fontId="0" fillId="2" borderId="16" xfId="1" applyNumberFormat="1" applyFont="1" applyFill="1" applyBorder="1" applyAlignment="1" applyProtection="1">
      <alignment vertical="center" wrapText="1"/>
      <protection hidden="1"/>
    </xf>
    <xf numFmtId="166" fontId="0" fillId="2" borderId="16" xfId="1" applyFont="1" applyFill="1" applyBorder="1" applyAlignment="1" applyProtection="1">
      <alignment vertical="center" wrapText="1"/>
      <protection hidden="1"/>
    </xf>
    <xf numFmtId="0" fontId="0" fillId="2" borderId="16" xfId="0" applyFill="1" applyBorder="1" applyAlignment="1" applyProtection="1">
      <alignment vertical="center" wrapText="1"/>
      <protection hidden="1"/>
    </xf>
    <xf numFmtId="167" fontId="2" fillId="2" borderId="2" xfId="1" applyNumberFormat="1" applyFont="1" applyFill="1" applyBorder="1" applyAlignment="1" applyProtection="1">
      <alignment vertical="center"/>
      <protection hidden="1"/>
    </xf>
    <xf numFmtId="0" fontId="0" fillId="2" borderId="0" xfId="0" applyFill="1" applyAlignment="1" applyProtection="1">
      <alignment vertical="center"/>
      <protection hidden="1"/>
    </xf>
    <xf numFmtId="0" fontId="0" fillId="0" borderId="45" xfId="0" applyBorder="1" applyAlignment="1" applyProtection="1">
      <alignment vertical="center" wrapText="1"/>
      <protection hidden="1"/>
    </xf>
    <xf numFmtId="167" fontId="0" fillId="0" borderId="25" xfId="1" applyNumberFormat="1" applyFont="1" applyFill="1" applyBorder="1" applyAlignment="1" applyProtection="1">
      <alignment vertical="center" wrapText="1"/>
      <protection hidden="1"/>
    </xf>
    <xf numFmtId="166" fontId="0" fillId="0" borderId="25" xfId="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167" fontId="2" fillId="0" borderId="46" xfId="1" applyNumberFormat="1" applyFont="1" applyFill="1" applyBorder="1" applyAlignment="1" applyProtection="1">
      <alignment vertical="center"/>
      <protection hidden="1"/>
    </xf>
    <xf numFmtId="0" fontId="0" fillId="0" borderId="2" xfId="0" applyBorder="1" applyAlignment="1" applyProtection="1">
      <alignment vertical="center" wrapText="1"/>
      <protection hidden="1"/>
    </xf>
    <xf numFmtId="167" fontId="0" fillId="0" borderId="0" xfId="0" applyNumberFormat="1" applyAlignment="1" applyProtection="1">
      <alignment vertical="center" wrapText="1"/>
      <protection hidden="1"/>
    </xf>
    <xf numFmtId="0" fontId="5" fillId="0" borderId="0" xfId="0" applyFont="1" applyAlignment="1" applyProtection="1">
      <alignment horizontal="right" vertical="center" wrapText="1"/>
      <protection hidden="1"/>
    </xf>
    <xf numFmtId="0" fontId="5" fillId="0" borderId="0" xfId="0" applyFont="1" applyAlignment="1" applyProtection="1">
      <alignment horizontal="right" vertical="center"/>
      <protection hidden="1"/>
    </xf>
    <xf numFmtId="166" fontId="0" fillId="0" borderId="0" xfId="1" applyFont="1" applyAlignment="1" applyProtection="1">
      <alignment vertical="center"/>
      <protection hidden="1"/>
    </xf>
    <xf numFmtId="0" fontId="39" fillId="0" borderId="34" xfId="0" applyFont="1" applyBorder="1" applyAlignment="1" applyProtection="1">
      <alignment wrapText="1"/>
      <protection hidden="1"/>
    </xf>
    <xf numFmtId="0" fontId="39" fillId="0" borderId="37" xfId="0" applyFont="1" applyBorder="1" applyAlignment="1" applyProtection="1">
      <alignment wrapText="1"/>
      <protection hidden="1"/>
    </xf>
    <xf numFmtId="0" fontId="39" fillId="0" borderId="38" xfId="0" applyFont="1" applyBorder="1" applyAlignment="1" applyProtection="1">
      <alignment wrapText="1"/>
      <protection hidden="1"/>
    </xf>
    <xf numFmtId="0" fontId="39" fillId="4" borderId="48" xfId="0" applyFont="1" applyFill="1" applyBorder="1" applyProtection="1">
      <protection hidden="1"/>
    </xf>
    <xf numFmtId="179" fontId="39" fillId="4" borderId="2" xfId="0" applyNumberFormat="1" applyFont="1" applyFill="1" applyBorder="1" applyProtection="1">
      <protection hidden="1"/>
    </xf>
    <xf numFmtId="177" fontId="39" fillId="4" borderId="2" xfId="0" applyNumberFormat="1" applyFont="1" applyFill="1" applyBorder="1" applyProtection="1">
      <protection hidden="1"/>
    </xf>
    <xf numFmtId="167" fontId="39" fillId="4" borderId="2" xfId="1" applyNumberFormat="1" applyFont="1" applyFill="1" applyBorder="1" applyProtection="1">
      <protection hidden="1"/>
    </xf>
    <xf numFmtId="0" fontId="39" fillId="0" borderId="0" xfId="0" applyFont="1" applyProtection="1">
      <protection hidden="1"/>
    </xf>
    <xf numFmtId="0" fontId="39" fillId="3" borderId="48" xfId="0" applyFont="1" applyFill="1" applyBorder="1" applyProtection="1">
      <protection hidden="1"/>
    </xf>
    <xf numFmtId="0" fontId="39" fillId="3" borderId="20" xfId="0" applyFont="1" applyFill="1" applyBorder="1" applyProtection="1">
      <protection hidden="1"/>
    </xf>
    <xf numFmtId="177" fontId="39" fillId="3" borderId="20" xfId="0" applyNumberFormat="1" applyFont="1" applyFill="1" applyBorder="1" applyProtection="1">
      <protection hidden="1"/>
    </xf>
    <xf numFmtId="167" fontId="39" fillId="3" borderId="20" xfId="1" applyNumberFormat="1" applyFont="1" applyFill="1" applyBorder="1" applyProtection="1">
      <protection hidden="1"/>
    </xf>
    <xf numFmtId="0" fontId="38" fillId="2" borderId="48" xfId="0" applyFont="1" applyFill="1" applyBorder="1" applyProtection="1">
      <protection hidden="1"/>
    </xf>
    <xf numFmtId="0" fontId="38" fillId="2" borderId="20" xfId="0" applyFont="1" applyFill="1" applyBorder="1" applyProtection="1">
      <protection hidden="1"/>
    </xf>
    <xf numFmtId="177" fontId="38" fillId="2" borderId="20" xfId="0" applyNumberFormat="1" applyFont="1" applyFill="1" applyBorder="1" applyProtection="1">
      <protection hidden="1"/>
    </xf>
    <xf numFmtId="167" fontId="38" fillId="2" borderId="20" xfId="1" applyNumberFormat="1" applyFont="1" applyFill="1" applyBorder="1" applyProtection="1">
      <protection hidden="1"/>
    </xf>
    <xf numFmtId="0" fontId="38" fillId="0" borderId="48" xfId="0" applyFont="1" applyBorder="1" applyProtection="1">
      <protection hidden="1"/>
    </xf>
    <xf numFmtId="0" fontId="38" fillId="0" borderId="20" xfId="0" applyFont="1" applyBorder="1" applyProtection="1">
      <protection hidden="1"/>
    </xf>
    <xf numFmtId="0" fontId="38" fillId="0" borderId="21" xfId="0" applyFont="1" applyBorder="1" applyProtection="1">
      <protection hidden="1"/>
    </xf>
    <xf numFmtId="0" fontId="38" fillId="0" borderId="2" xfId="0" applyFont="1" applyBorder="1" applyProtection="1">
      <protection hidden="1"/>
    </xf>
    <xf numFmtId="177" fontId="38" fillId="0" borderId="21" xfId="1" applyNumberFormat="1" applyFont="1" applyFill="1" applyBorder="1" applyProtection="1">
      <protection hidden="1"/>
    </xf>
    <xf numFmtId="167" fontId="38" fillId="0" borderId="2" xfId="1" applyNumberFormat="1" applyFont="1" applyFill="1" applyBorder="1" applyProtection="1">
      <protection hidden="1"/>
    </xf>
    <xf numFmtId="167" fontId="38" fillId="0" borderId="21" xfId="1" applyNumberFormat="1" applyFont="1" applyFill="1" applyBorder="1" applyProtection="1">
      <protection hidden="1"/>
    </xf>
    <xf numFmtId="166" fontId="39" fillId="3" borderId="20" xfId="1" applyFont="1" applyFill="1" applyBorder="1" applyProtection="1">
      <protection hidden="1"/>
    </xf>
    <xf numFmtId="177" fontId="39" fillId="3" borderId="20" xfId="1" applyNumberFormat="1" applyFont="1" applyFill="1" applyBorder="1" applyProtection="1">
      <protection hidden="1"/>
    </xf>
    <xf numFmtId="166" fontId="38" fillId="2" borderId="20" xfId="1" applyFont="1" applyFill="1" applyBorder="1" applyProtection="1">
      <protection hidden="1"/>
    </xf>
    <xf numFmtId="177" fontId="38" fillId="2" borderId="20" xfId="1" applyNumberFormat="1" applyFont="1" applyFill="1" applyBorder="1" applyProtection="1">
      <protection hidden="1"/>
    </xf>
    <xf numFmtId="0" fontId="38" fillId="0" borderId="22" xfId="0" applyFont="1" applyBorder="1" applyProtection="1">
      <protection hidden="1"/>
    </xf>
    <xf numFmtId="0" fontId="38" fillId="0" borderId="24" xfId="0" applyFont="1" applyBorder="1" applyProtection="1">
      <protection hidden="1"/>
    </xf>
    <xf numFmtId="0" fontId="38" fillId="0" borderId="23" xfId="0" applyFont="1" applyBorder="1" applyProtection="1">
      <protection hidden="1"/>
    </xf>
    <xf numFmtId="177" fontId="38" fillId="0" borderId="24" xfId="1" applyNumberFormat="1" applyFont="1" applyFill="1" applyBorder="1" applyProtection="1">
      <protection hidden="1"/>
    </xf>
    <xf numFmtId="167" fontId="38" fillId="0" borderId="23" xfId="1" applyNumberFormat="1" applyFont="1" applyFill="1" applyBorder="1" applyProtection="1">
      <protection hidden="1"/>
    </xf>
    <xf numFmtId="167" fontId="38" fillId="0" borderId="24" xfId="1" applyNumberFormat="1" applyFont="1" applyFill="1" applyBorder="1" applyProtection="1">
      <protection hidden="1"/>
    </xf>
    <xf numFmtId="167" fontId="35" fillId="0" borderId="67" xfId="1" applyNumberFormat="1" applyFont="1" applyFill="1" applyBorder="1" applyAlignment="1" applyProtection="1">
      <alignment vertical="center" wrapText="1"/>
      <protection hidden="1"/>
    </xf>
    <xf numFmtId="167" fontId="35" fillId="0" borderId="68" xfId="1" applyNumberFormat="1" applyFont="1" applyFill="1" applyBorder="1" applyAlignment="1" applyProtection="1">
      <alignment vertical="center" wrapText="1"/>
      <protection hidden="1"/>
    </xf>
    <xf numFmtId="167" fontId="35" fillId="0" borderId="68" xfId="1" applyNumberFormat="1" applyFont="1" applyFill="1" applyBorder="1" applyAlignment="1" applyProtection="1">
      <alignment horizontal="left" vertical="center" wrapText="1"/>
      <protection hidden="1"/>
    </xf>
    <xf numFmtId="9" fontId="35" fillId="0" borderId="68" xfId="3" applyFont="1" applyFill="1" applyBorder="1" applyAlignment="1" applyProtection="1">
      <alignment horizontal="center" vertical="center" wrapText="1"/>
      <protection hidden="1"/>
    </xf>
    <xf numFmtId="167" fontId="35" fillId="0" borderId="69" xfId="1" applyNumberFormat="1" applyFont="1" applyFill="1" applyBorder="1" applyAlignment="1" applyProtection="1">
      <alignment horizontal="left" vertical="center" wrapText="1"/>
      <protection hidden="1"/>
    </xf>
    <xf numFmtId="0" fontId="3" fillId="38" borderId="20" xfId="0" applyFont="1" applyFill="1" applyBorder="1" applyAlignment="1" applyProtection="1">
      <alignment wrapText="1"/>
      <protection hidden="1"/>
    </xf>
    <xf numFmtId="167" fontId="3" fillId="38" borderId="2" xfId="1" applyNumberFormat="1" applyFont="1" applyFill="1" applyBorder="1" applyProtection="1">
      <protection hidden="1"/>
    </xf>
    <xf numFmtId="9" fontId="3" fillId="38" borderId="2" xfId="3" applyFont="1" applyFill="1" applyBorder="1" applyProtection="1">
      <protection hidden="1"/>
    </xf>
    <xf numFmtId="0" fontId="3" fillId="4" borderId="20" xfId="0" applyFont="1" applyFill="1" applyBorder="1" applyAlignment="1" applyProtection="1">
      <alignment wrapText="1"/>
      <protection hidden="1"/>
    </xf>
    <xf numFmtId="9" fontId="3" fillId="4" borderId="2" xfId="3" applyFont="1" applyFill="1" applyBorder="1" applyProtection="1">
      <protection hidden="1"/>
    </xf>
    <xf numFmtId="0" fontId="0" fillId="3" borderId="20" xfId="0" applyFill="1" applyBorder="1" applyAlignment="1" applyProtection="1">
      <alignment wrapText="1"/>
      <protection hidden="1"/>
    </xf>
    <xf numFmtId="9" fontId="2" fillId="3" borderId="2" xfId="3" applyFont="1" applyFill="1" applyBorder="1" applyProtection="1">
      <protection hidden="1"/>
    </xf>
    <xf numFmtId="0" fontId="0" fillId="3" borderId="0" xfId="0" applyFill="1" applyProtection="1">
      <protection hidden="1"/>
    </xf>
    <xf numFmtId="9" fontId="2" fillId="0" borderId="2" xfId="3" applyFont="1" applyFill="1" applyBorder="1" applyProtection="1">
      <protection hidden="1"/>
    </xf>
    <xf numFmtId="167" fontId="2" fillId="0" borderId="2" xfId="1" applyNumberFormat="1" applyFont="1" applyFill="1" applyBorder="1" applyAlignment="1" applyProtection="1">
      <alignment horizontal="center"/>
      <protection hidden="1"/>
    </xf>
    <xf numFmtId="166" fontId="2" fillId="0" borderId="2" xfId="1" applyFont="1" applyFill="1" applyBorder="1" applyProtection="1">
      <protection hidden="1"/>
    </xf>
    <xf numFmtId="0" fontId="0" fillId="2" borderId="20" xfId="0" applyFill="1" applyBorder="1" applyAlignment="1" applyProtection="1">
      <alignment wrapText="1"/>
      <protection hidden="1"/>
    </xf>
    <xf numFmtId="167" fontId="2" fillId="2" borderId="2" xfId="1" applyNumberFormat="1" applyFont="1" applyFill="1" applyBorder="1" applyProtection="1">
      <protection hidden="1"/>
    </xf>
    <xf numFmtId="9" fontId="2" fillId="2" borderId="2" xfId="3" applyFont="1" applyFill="1" applyBorder="1" applyProtection="1">
      <protection hidden="1"/>
    </xf>
    <xf numFmtId="0" fontId="0" fillId="2" borderId="0" xfId="0" applyFill="1" applyProtection="1">
      <protection hidden="1"/>
    </xf>
    <xf numFmtId="166" fontId="0" fillId="0" borderId="0" xfId="1" applyFont="1" applyProtection="1">
      <protection hidden="1"/>
    </xf>
    <xf numFmtId="3" fontId="0" fillId="0" borderId="0" xfId="0" applyNumberFormat="1" applyProtection="1">
      <protection hidden="1"/>
    </xf>
    <xf numFmtId="0" fontId="31" fillId="0" borderId="3" xfId="0" applyFont="1" applyBorder="1" applyAlignment="1">
      <alignment horizontal="center" vertical="top"/>
    </xf>
    <xf numFmtId="0" fontId="31" fillId="0" borderId="0" xfId="0" applyFont="1" applyAlignment="1">
      <alignment horizontal="center" vertical="top"/>
    </xf>
    <xf numFmtId="0" fontId="31" fillId="0" borderId="5" xfId="0" applyFont="1" applyBorder="1" applyAlignment="1">
      <alignment horizontal="center" vertical="top"/>
    </xf>
    <xf numFmtId="0" fontId="23" fillId="0" borderId="3" xfId="0" applyFont="1" applyBorder="1" applyAlignment="1">
      <alignment horizontal="center" vertical="top" wrapText="1"/>
    </xf>
    <xf numFmtId="0" fontId="23" fillId="0" borderId="0" xfId="0" applyFont="1" applyAlignment="1">
      <alignment horizontal="center" vertical="top" wrapText="1"/>
    </xf>
    <xf numFmtId="0" fontId="23" fillId="0" borderId="5" xfId="0" applyFont="1" applyBorder="1" applyAlignment="1">
      <alignment horizontal="center" vertical="top" wrapText="1"/>
    </xf>
    <xf numFmtId="0" fontId="23" fillId="0" borderId="3" xfId="0" applyFont="1" applyBorder="1" applyAlignment="1">
      <alignment vertical="top" wrapText="1"/>
    </xf>
    <xf numFmtId="0" fontId="23" fillId="0" borderId="0" xfId="0" applyFont="1" applyAlignment="1">
      <alignment vertical="top" wrapText="1"/>
    </xf>
    <xf numFmtId="0" fontId="23" fillId="0" borderId="5" xfId="0" applyFont="1" applyBorder="1" applyAlignment="1">
      <alignment vertical="top" wrapText="1"/>
    </xf>
    <xf numFmtId="0" fontId="31" fillId="40" borderId="3" xfId="0" applyFont="1" applyFill="1" applyBorder="1" applyAlignment="1" applyProtection="1">
      <alignment horizontal="center" vertical="top"/>
      <protection hidden="1"/>
    </xf>
    <xf numFmtId="0" fontId="31" fillId="40" borderId="0" xfId="0" applyFont="1" applyFill="1" applyAlignment="1" applyProtection="1">
      <alignment horizontal="center" vertical="top"/>
      <protection hidden="1"/>
    </xf>
    <xf numFmtId="0" fontId="31" fillId="40" borderId="5" xfId="0" applyFont="1" applyFill="1" applyBorder="1" applyAlignment="1" applyProtection="1">
      <alignment horizontal="center" vertical="top"/>
      <protection hidden="1"/>
    </xf>
    <xf numFmtId="0" fontId="23" fillId="40" borderId="3" xfId="0" applyFont="1" applyFill="1" applyBorder="1" applyAlignment="1" applyProtection="1">
      <alignment horizontal="center" vertical="top" wrapText="1"/>
      <protection hidden="1"/>
    </xf>
    <xf numFmtId="0" fontId="23" fillId="40" borderId="0" xfId="0" applyFont="1" applyFill="1" applyAlignment="1" applyProtection="1">
      <alignment horizontal="center" vertical="top" wrapText="1"/>
      <protection hidden="1"/>
    </xf>
    <xf numFmtId="0" fontId="23" fillId="40" borderId="5" xfId="0" applyFont="1" applyFill="1" applyBorder="1" applyAlignment="1" applyProtection="1">
      <alignment horizontal="center" vertical="top" wrapText="1"/>
      <protection hidden="1"/>
    </xf>
    <xf numFmtId="0" fontId="23" fillId="40" borderId="3" xfId="0" applyFont="1" applyFill="1" applyBorder="1" applyAlignment="1" applyProtection="1">
      <alignment vertical="top" wrapText="1"/>
      <protection hidden="1"/>
    </xf>
    <xf numFmtId="0" fontId="23" fillId="40" borderId="0" xfId="0" applyFont="1" applyFill="1" applyAlignment="1" applyProtection="1">
      <alignment vertical="top" wrapText="1"/>
      <protection hidden="1"/>
    </xf>
    <xf numFmtId="0" fontId="23" fillId="40" borderId="5" xfId="0" applyFont="1" applyFill="1" applyBorder="1" applyAlignment="1" applyProtection="1">
      <alignment vertical="top" wrapText="1"/>
      <protection hidden="1"/>
    </xf>
    <xf numFmtId="0" fontId="23" fillId="0" borderId="3" xfId="0" applyFont="1" applyBorder="1" applyAlignment="1" applyProtection="1">
      <alignment vertical="top" wrapText="1"/>
      <protection hidden="1"/>
    </xf>
    <xf numFmtId="0" fontId="23" fillId="0" borderId="0" xfId="0" applyFont="1" applyAlignment="1" applyProtection="1">
      <alignment vertical="top" wrapText="1"/>
      <protection hidden="1"/>
    </xf>
    <xf numFmtId="0" fontId="23" fillId="0" borderId="5" xfId="0" applyFont="1" applyBorder="1" applyAlignment="1" applyProtection="1">
      <alignment vertical="top" wrapText="1"/>
      <protection hidden="1"/>
    </xf>
    <xf numFmtId="0" fontId="39" fillId="0" borderId="34" xfId="0" applyFont="1" applyBorder="1" applyAlignment="1" applyProtection="1">
      <alignment horizontal="center" vertical="center"/>
      <protection hidden="1"/>
    </xf>
    <xf numFmtId="0" fontId="39" fillId="0" borderId="38" xfId="0" applyFont="1" applyBorder="1" applyAlignment="1" applyProtection="1">
      <alignment horizontal="center" vertical="center"/>
      <protection hidden="1"/>
    </xf>
    <xf numFmtId="0" fontId="39" fillId="0" borderId="37" xfId="0" applyFont="1" applyBorder="1" applyAlignment="1" applyProtection="1">
      <alignment horizontal="center" vertical="center"/>
      <protection hidden="1"/>
    </xf>
    <xf numFmtId="0" fontId="39" fillId="0" borderId="58" xfId="0" applyFont="1" applyBorder="1" applyAlignment="1" applyProtection="1">
      <alignment horizontal="center" vertical="center"/>
      <protection hidden="1"/>
    </xf>
    <xf numFmtId="0" fontId="39" fillId="0" borderId="59" xfId="0" applyFont="1" applyBorder="1" applyAlignment="1" applyProtection="1">
      <alignment horizontal="center" vertical="center"/>
      <protection hidden="1"/>
    </xf>
    <xf numFmtId="0" fontId="39" fillId="0" borderId="60" xfId="0" applyFont="1" applyBorder="1" applyAlignment="1" applyProtection="1">
      <alignment horizontal="center" vertical="center"/>
      <protection hidden="1"/>
    </xf>
    <xf numFmtId="0" fontId="35" fillId="0" borderId="0" xfId="0" applyFont="1" applyAlignment="1" applyProtection="1">
      <alignment horizontal="center"/>
      <protection hidden="1"/>
    </xf>
    <xf numFmtId="0" fontId="1" fillId="0" borderId="0" xfId="0" applyFont="1" applyAlignment="1">
      <alignment horizontal="left" vertical="center" wrapText="1"/>
    </xf>
    <xf numFmtId="167" fontId="3" fillId="0" borderId="28" xfId="1" applyNumberFormat="1" applyFont="1" applyFill="1" applyBorder="1" applyAlignment="1">
      <alignment horizontal="center" vertical="center" wrapText="1"/>
    </xf>
    <xf numFmtId="167" fontId="3" fillId="0" borderId="61" xfId="1" applyNumberFormat="1" applyFont="1" applyFill="1" applyBorder="1" applyAlignment="1">
      <alignment horizontal="center" vertical="center" wrapText="1"/>
    </xf>
    <xf numFmtId="167" fontId="3" fillId="0" borderId="30" xfId="1" applyNumberFormat="1" applyFont="1" applyFill="1" applyBorder="1" applyAlignment="1">
      <alignment horizontal="center" vertical="center" wrapText="1"/>
    </xf>
    <xf numFmtId="167" fontId="3" fillId="0" borderId="63" xfId="1" applyNumberFormat="1" applyFont="1" applyFill="1" applyBorder="1" applyAlignment="1">
      <alignment horizontal="center" vertical="center" wrapText="1"/>
    </xf>
    <xf numFmtId="167" fontId="3" fillId="0" borderId="58" xfId="1" applyNumberFormat="1" applyFont="1" applyBorder="1" applyAlignment="1">
      <alignment horizontal="center" vertical="center" wrapText="1"/>
    </xf>
    <xf numFmtId="167" fontId="3" fillId="0" borderId="60" xfId="1" applyNumberFormat="1" applyFont="1" applyBorder="1" applyAlignment="1">
      <alignment horizontal="center" vertical="center" wrapText="1"/>
    </xf>
    <xf numFmtId="0" fontId="3" fillId="0" borderId="4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6" xfId="0" applyFont="1" applyBorder="1" applyAlignment="1">
      <alignment horizontal="center" vertical="center" wrapText="1"/>
    </xf>
    <xf numFmtId="169" fontId="3" fillId="0" borderId="40" xfId="0" applyNumberFormat="1" applyFont="1" applyBorder="1" applyAlignment="1">
      <alignment horizontal="center" vertical="center" wrapText="1"/>
    </xf>
    <xf numFmtId="169" fontId="3" fillId="0" borderId="41" xfId="0" applyNumberFormat="1" applyFont="1" applyBorder="1" applyAlignment="1">
      <alignment horizontal="center" vertical="center" wrapText="1"/>
    </xf>
    <xf numFmtId="169" fontId="3" fillId="0" borderId="42" xfId="0" applyNumberFormat="1" applyFont="1" applyBorder="1" applyAlignment="1">
      <alignment horizontal="center" vertical="center" wrapText="1"/>
    </xf>
    <xf numFmtId="0" fontId="3" fillId="0" borderId="44" xfId="0" applyFont="1" applyBorder="1" applyAlignment="1">
      <alignment horizontal="center" vertical="center" wrapText="1"/>
    </xf>
    <xf numFmtId="0" fontId="3" fillId="0" borderId="49" xfId="0" applyFont="1" applyBorder="1" applyAlignment="1">
      <alignment horizontal="center" vertical="center" wrapText="1"/>
    </xf>
    <xf numFmtId="9" fontId="3" fillId="0" borderId="52" xfId="3" applyFont="1" applyBorder="1" applyAlignment="1">
      <alignment horizontal="center" vertical="center" wrapText="1"/>
    </xf>
    <xf numFmtId="9" fontId="3" fillId="0" borderId="29" xfId="3" applyFont="1" applyBorder="1" applyAlignment="1">
      <alignment horizontal="center" vertical="center" wrapText="1"/>
    </xf>
    <xf numFmtId="9" fontId="3" fillId="0" borderId="62" xfId="3" applyFont="1" applyBorder="1" applyAlignment="1">
      <alignment horizontal="center" vertical="center" wrapText="1"/>
    </xf>
    <xf numFmtId="0" fontId="3" fillId="0" borderId="5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3" xfId="0" applyFont="1" applyBorder="1" applyAlignment="1">
      <alignment horizontal="center" vertical="center" wrapText="1"/>
    </xf>
    <xf numFmtId="167" fontId="3" fillId="0" borderId="29" xfId="1" applyNumberFormat="1" applyFont="1" applyFill="1" applyBorder="1" applyAlignment="1">
      <alignment horizontal="center" vertical="center" wrapText="1"/>
    </xf>
    <xf numFmtId="167" fontId="3" fillId="0" borderId="62" xfId="1" applyNumberFormat="1" applyFont="1" applyFill="1" applyBorder="1" applyAlignment="1">
      <alignment horizontal="center" vertical="center" wrapText="1"/>
    </xf>
    <xf numFmtId="167" fontId="3" fillId="0" borderId="37" xfId="1" applyNumberFormat="1" applyFont="1" applyBorder="1" applyAlignment="1">
      <alignment horizontal="center" vertical="center" wrapText="1"/>
    </xf>
    <xf numFmtId="167" fontId="3" fillId="0" borderId="1" xfId="1" applyNumberFormat="1" applyFont="1" applyBorder="1" applyAlignment="1">
      <alignment horizontal="center" vertical="center" wrapText="1"/>
    </xf>
    <xf numFmtId="167" fontId="3" fillId="38" borderId="41" xfId="1" applyNumberFormat="1" applyFont="1" applyFill="1" applyBorder="1" applyAlignment="1">
      <alignment horizontal="center" vertical="center" wrapText="1"/>
    </xf>
    <xf numFmtId="167" fontId="3" fillId="38" borderId="72" xfId="1" applyNumberFormat="1" applyFont="1" applyFill="1" applyBorder="1" applyAlignment="1">
      <alignment horizontal="center" vertical="center" wrapText="1"/>
    </xf>
    <xf numFmtId="167" fontId="3" fillId="0" borderId="31" xfId="1" applyNumberFormat="1" applyFont="1" applyBorder="1" applyAlignment="1">
      <alignment horizontal="center" vertical="center" wrapText="1"/>
    </xf>
    <xf numFmtId="167" fontId="3" fillId="0" borderId="32" xfId="1" applyNumberFormat="1" applyFont="1" applyBorder="1" applyAlignment="1">
      <alignment horizontal="center" vertical="center" wrapText="1"/>
    </xf>
    <xf numFmtId="167" fontId="3" fillId="3" borderId="66" xfId="1" applyNumberFormat="1" applyFont="1" applyFill="1" applyBorder="1" applyAlignment="1">
      <alignment horizontal="center" vertical="center" wrapText="1"/>
    </xf>
    <xf numFmtId="167" fontId="3" fillId="3" borderId="23" xfId="1" applyNumberFormat="1" applyFont="1" applyFill="1" applyBorder="1" applyAlignment="1">
      <alignment horizontal="center" vertical="center" wrapText="1"/>
    </xf>
    <xf numFmtId="167" fontId="3" fillId="38" borderId="65" xfId="1" applyNumberFormat="1" applyFont="1" applyFill="1" applyBorder="1" applyAlignment="1">
      <alignment horizontal="center" vertical="center" wrapText="1"/>
    </xf>
    <xf numFmtId="167" fontId="3" fillId="38" borderId="24" xfId="1" applyNumberFormat="1" applyFont="1" applyFill="1" applyBorder="1" applyAlignment="1">
      <alignment horizontal="center" vertical="center" wrapText="1"/>
    </xf>
    <xf numFmtId="167" fontId="3" fillId="0" borderId="67" xfId="1" applyNumberFormat="1" applyFont="1" applyBorder="1" applyAlignment="1">
      <alignment horizontal="center" vertical="center" wrapText="1"/>
    </xf>
    <xf numFmtId="167" fontId="3" fillId="0" borderId="68" xfId="1" applyNumberFormat="1" applyFont="1" applyBorder="1" applyAlignment="1">
      <alignment horizontal="center" vertical="center" wrapText="1"/>
    </xf>
    <xf numFmtId="167" fontId="3" fillId="0" borderId="77" xfId="1" applyNumberFormat="1" applyFont="1" applyBorder="1" applyAlignment="1">
      <alignment horizontal="center" vertical="center" wrapText="1"/>
    </xf>
    <xf numFmtId="167" fontId="3" fillId="0" borderId="69" xfId="1" applyNumberFormat="1" applyFont="1" applyBorder="1" applyAlignment="1">
      <alignment horizontal="center" vertical="center" wrapText="1"/>
    </xf>
    <xf numFmtId="167" fontId="3" fillId="0" borderId="34" xfId="1" applyNumberFormat="1" applyFont="1" applyBorder="1" applyAlignment="1">
      <alignment horizontal="center" vertical="center"/>
    </xf>
    <xf numFmtId="167" fontId="3" fillId="0" borderId="38" xfId="1" applyNumberFormat="1" applyFont="1" applyBorder="1" applyAlignment="1">
      <alignment horizontal="center" vertical="center"/>
    </xf>
    <xf numFmtId="167" fontId="3" fillId="0" borderId="59" xfId="1" applyNumberFormat="1" applyFont="1" applyBorder="1" applyAlignment="1">
      <alignment horizontal="center" vertical="center"/>
    </xf>
    <xf numFmtId="167" fontId="3" fillId="0" borderId="66" xfId="1" applyNumberFormat="1" applyFont="1" applyFill="1" applyBorder="1" applyAlignment="1">
      <alignment horizontal="center" vertical="center" wrapText="1"/>
    </xf>
    <xf numFmtId="167" fontId="3" fillId="0" borderId="40" xfId="1" applyNumberFormat="1" applyFont="1" applyBorder="1" applyAlignment="1">
      <alignment horizontal="center" vertical="center" wrapText="1"/>
    </xf>
    <xf numFmtId="167" fontId="3" fillId="0" borderId="41" xfId="1" applyNumberFormat="1" applyFont="1" applyBorder="1" applyAlignment="1">
      <alignment horizontal="center" vertical="center" wrapText="1"/>
    </xf>
    <xf numFmtId="167" fontId="3" fillId="0" borderId="56" xfId="1" applyNumberFormat="1" applyFont="1" applyBorder="1" applyAlignment="1">
      <alignment horizontal="center" vertical="center" wrapText="1"/>
    </xf>
    <xf numFmtId="167" fontId="3" fillId="0" borderId="64" xfId="1" applyNumberFormat="1" applyFont="1" applyFill="1" applyBorder="1" applyAlignment="1">
      <alignment horizontal="center" vertical="center" wrapText="1"/>
    </xf>
    <xf numFmtId="167" fontId="3" fillId="3" borderId="50" xfId="1" applyNumberFormat="1" applyFont="1" applyFill="1" applyBorder="1" applyAlignment="1">
      <alignment horizontal="center" vertical="center" wrapText="1"/>
    </xf>
    <xf numFmtId="167" fontId="3" fillId="3" borderId="63" xfId="1" applyNumberFormat="1" applyFont="1" applyFill="1" applyBorder="1" applyAlignment="1">
      <alignment horizontal="center" vertical="center" wrapText="1"/>
    </xf>
    <xf numFmtId="167" fontId="3" fillId="3" borderId="19" xfId="1" applyNumberFormat="1" applyFont="1" applyFill="1" applyBorder="1" applyAlignment="1">
      <alignment horizontal="center" vertical="center" wrapText="1"/>
    </xf>
    <xf numFmtId="167" fontId="3" fillId="3" borderId="24" xfId="1" applyNumberFormat="1" applyFont="1" applyFill="1" applyBorder="1" applyAlignment="1">
      <alignment horizontal="center" vertical="center" wrapText="1"/>
    </xf>
    <xf numFmtId="167" fontId="3" fillId="0" borderId="34" xfId="1" applyNumberFormat="1" applyFont="1" applyBorder="1" applyAlignment="1">
      <alignment horizontal="center" vertical="center" wrapText="1"/>
    </xf>
    <xf numFmtId="167" fontId="3" fillId="0" borderId="35" xfId="1" applyNumberFormat="1" applyFont="1" applyBorder="1" applyAlignment="1">
      <alignment horizontal="center" vertical="center" wrapText="1"/>
    </xf>
    <xf numFmtId="167" fontId="3" fillId="0" borderId="60" xfId="1" applyNumberFormat="1" applyFont="1" applyBorder="1" applyAlignment="1">
      <alignment horizontal="center" vertical="center"/>
    </xf>
    <xf numFmtId="167" fontId="3" fillId="0" borderId="17" xfId="1" applyNumberFormat="1" applyFont="1" applyBorder="1" applyAlignment="1">
      <alignment horizontal="center" vertical="center" wrapText="1"/>
    </xf>
    <xf numFmtId="167" fontId="3" fillId="0" borderId="18" xfId="1" applyNumberFormat="1" applyFont="1" applyBorder="1" applyAlignment="1">
      <alignment horizontal="center" vertical="center" wrapText="1"/>
    </xf>
    <xf numFmtId="167" fontId="3" fillId="0" borderId="57" xfId="1" applyNumberFormat="1" applyFont="1" applyBorder="1" applyAlignment="1">
      <alignment horizontal="center" vertical="center" wrapText="1"/>
    </xf>
    <xf numFmtId="167" fontId="3" fillId="3" borderId="41" xfId="1" applyNumberFormat="1" applyFont="1" applyFill="1" applyBorder="1" applyAlignment="1">
      <alignment horizontal="center" vertical="center" wrapText="1"/>
    </xf>
    <xf numFmtId="167" fontId="3" fillId="3" borderId="54" xfId="1" applyNumberFormat="1" applyFont="1" applyFill="1" applyBorder="1" applyAlignment="1">
      <alignment horizontal="center" vertical="center" wrapText="1"/>
    </xf>
    <xf numFmtId="167" fontId="3" fillId="3" borderId="37" xfId="1" applyNumberFormat="1" applyFont="1" applyFill="1" applyBorder="1" applyAlignment="1">
      <alignment horizontal="center" vertical="center" wrapText="1"/>
    </xf>
    <xf numFmtId="167" fontId="3" fillId="3" borderId="74" xfId="1" applyNumberFormat="1" applyFont="1" applyFill="1" applyBorder="1" applyAlignment="1">
      <alignment horizontal="center" vertical="center" wrapText="1"/>
    </xf>
    <xf numFmtId="167" fontId="3" fillId="38" borderId="31" xfId="1" applyNumberFormat="1" applyFont="1" applyFill="1" applyBorder="1" applyAlignment="1">
      <alignment horizontal="center" vertical="center" wrapText="1"/>
    </xf>
    <xf numFmtId="167" fontId="3" fillId="38" borderId="33" xfId="1" applyNumberFormat="1" applyFont="1" applyFill="1" applyBorder="1" applyAlignment="1">
      <alignment horizontal="center" vertical="center" wrapText="1"/>
    </xf>
    <xf numFmtId="167" fontId="3" fillId="0" borderId="34" xfId="1" applyNumberFormat="1" applyFont="1" applyBorder="1" applyAlignment="1" applyProtection="1">
      <alignment horizontal="center" vertical="center" wrapText="1"/>
      <protection hidden="1"/>
    </xf>
    <xf numFmtId="167" fontId="3" fillId="0" borderId="35" xfId="1" applyNumberFormat="1" applyFont="1" applyBorder="1" applyAlignment="1" applyProtection="1">
      <alignment horizontal="center" vertical="center" wrapText="1"/>
      <protection hidden="1"/>
    </xf>
    <xf numFmtId="167" fontId="3" fillId="0" borderId="34" xfId="1" applyNumberFormat="1" applyFont="1" applyBorder="1" applyAlignment="1" applyProtection="1">
      <alignment horizontal="center" vertical="center"/>
      <protection hidden="1"/>
    </xf>
    <xf numFmtId="167" fontId="3" fillId="0" borderId="38" xfId="1" applyNumberFormat="1" applyFont="1" applyBorder="1" applyAlignment="1" applyProtection="1">
      <alignment horizontal="center" vertical="center"/>
      <protection hidden="1"/>
    </xf>
    <xf numFmtId="167" fontId="3" fillId="0" borderId="59" xfId="1" applyNumberFormat="1" applyFont="1" applyBorder="1" applyAlignment="1" applyProtection="1">
      <alignment horizontal="center" vertical="center"/>
      <protection hidden="1"/>
    </xf>
    <xf numFmtId="167" fontId="3" fillId="0" borderId="67" xfId="1" applyNumberFormat="1" applyFont="1" applyBorder="1" applyAlignment="1" applyProtection="1">
      <alignment horizontal="center" vertical="center" wrapText="1"/>
      <protection hidden="1"/>
    </xf>
    <xf numFmtId="167" fontId="3" fillId="0" borderId="68" xfId="1" applyNumberFormat="1" applyFont="1" applyBorder="1" applyAlignment="1" applyProtection="1">
      <alignment horizontal="center" vertical="center" wrapText="1"/>
      <protection hidden="1"/>
    </xf>
    <xf numFmtId="167" fontId="3" fillId="0" borderId="77" xfId="1" applyNumberFormat="1" applyFont="1" applyBorder="1" applyAlignment="1" applyProtection="1">
      <alignment horizontal="center" vertical="center" wrapText="1"/>
      <protection hidden="1"/>
    </xf>
    <xf numFmtId="167" fontId="3" fillId="0" borderId="69" xfId="1" applyNumberFormat="1" applyFont="1" applyBorder="1" applyAlignment="1" applyProtection="1">
      <alignment horizontal="center" vertical="center" wrapText="1"/>
      <protection hidden="1"/>
    </xf>
    <xf numFmtId="167" fontId="3" fillId="0" borderId="37" xfId="1" applyNumberFormat="1" applyFont="1" applyBorder="1" applyAlignment="1" applyProtection="1">
      <alignment horizontal="center" vertical="center" wrapText="1"/>
      <protection hidden="1"/>
    </xf>
    <xf numFmtId="167" fontId="3" fillId="0" borderId="1" xfId="1" applyNumberFormat="1" applyFont="1" applyBorder="1" applyAlignment="1" applyProtection="1">
      <alignment horizontal="center" vertical="center" wrapText="1"/>
      <protection hidden="1"/>
    </xf>
    <xf numFmtId="167" fontId="3" fillId="38" borderId="31" xfId="1" applyNumberFormat="1" applyFont="1" applyFill="1" applyBorder="1" applyAlignment="1" applyProtection="1">
      <alignment horizontal="center" vertical="center" wrapText="1"/>
      <protection hidden="1"/>
    </xf>
    <xf numFmtId="167" fontId="3" fillId="38" borderId="33" xfId="1" applyNumberFormat="1" applyFont="1" applyFill="1" applyBorder="1" applyAlignment="1" applyProtection="1">
      <alignment horizontal="center" vertical="center" wrapText="1"/>
      <protection hidden="1"/>
    </xf>
    <xf numFmtId="167" fontId="3" fillId="0" borderId="40" xfId="1" applyNumberFormat="1" applyFont="1" applyBorder="1" applyAlignment="1" applyProtection="1">
      <alignment horizontal="center" vertical="center" wrapText="1"/>
      <protection hidden="1"/>
    </xf>
    <xf numFmtId="167" fontId="3" fillId="0" borderId="41" xfId="1" applyNumberFormat="1" applyFont="1" applyBorder="1" applyAlignment="1" applyProtection="1">
      <alignment horizontal="center" vertical="center" wrapText="1"/>
      <protection hidden="1"/>
    </xf>
    <xf numFmtId="167" fontId="3" fillId="0" borderId="56" xfId="1" applyNumberFormat="1" applyFont="1" applyBorder="1" applyAlignment="1" applyProtection="1">
      <alignment horizontal="center" vertical="center" wrapText="1"/>
      <protection hidden="1"/>
    </xf>
    <xf numFmtId="167" fontId="3" fillId="0" borderId="58" xfId="1" applyNumberFormat="1" applyFont="1" applyBorder="1" applyAlignment="1" applyProtection="1">
      <alignment horizontal="center" vertical="center" wrapText="1"/>
      <protection hidden="1"/>
    </xf>
    <xf numFmtId="167" fontId="3" fillId="0" borderId="60" xfId="1" applyNumberFormat="1" applyFont="1" applyBorder="1" applyAlignment="1" applyProtection="1">
      <alignment horizontal="center" vertical="center" wrapText="1"/>
      <protection hidden="1"/>
    </xf>
    <xf numFmtId="167" fontId="3" fillId="3" borderId="19" xfId="1" applyNumberFormat="1" applyFont="1" applyFill="1" applyBorder="1" applyAlignment="1" applyProtection="1">
      <alignment horizontal="center" vertical="center" wrapText="1"/>
      <protection hidden="1"/>
    </xf>
    <xf numFmtId="167" fontId="3" fillId="3" borderId="24" xfId="1" applyNumberFormat="1" applyFont="1" applyFill="1" applyBorder="1" applyAlignment="1" applyProtection="1">
      <alignment horizontal="center" vertical="center" wrapText="1"/>
      <protection hidden="1"/>
    </xf>
    <xf numFmtId="167" fontId="3" fillId="0" borderId="30" xfId="1" applyNumberFormat="1" applyFont="1" applyFill="1" applyBorder="1" applyAlignment="1" applyProtection="1">
      <alignment horizontal="center" vertical="center" wrapText="1"/>
      <protection hidden="1"/>
    </xf>
    <xf numFmtId="167" fontId="3" fillId="0" borderId="63" xfId="1" applyNumberFormat="1" applyFont="1" applyFill="1" applyBorder="1" applyAlignment="1" applyProtection="1">
      <alignment horizontal="center" vertical="center" wrapText="1"/>
      <protection hidden="1"/>
    </xf>
    <xf numFmtId="169" fontId="3" fillId="0" borderId="40" xfId="0" applyNumberFormat="1" applyFont="1" applyBorder="1" applyAlignment="1" applyProtection="1">
      <alignment horizontal="center" vertical="center" wrapText="1"/>
      <protection hidden="1"/>
    </xf>
    <xf numFmtId="169" fontId="3" fillId="0" borderId="41" xfId="0" applyNumberFormat="1" applyFont="1" applyBorder="1" applyAlignment="1" applyProtection="1">
      <alignment horizontal="center" vertical="center" wrapText="1"/>
      <protection hidden="1"/>
    </xf>
    <xf numFmtId="169" fontId="3" fillId="0" borderId="42" xfId="0" applyNumberFormat="1" applyFont="1" applyBorder="1" applyAlignment="1" applyProtection="1">
      <alignment horizontal="center" vertical="center" wrapText="1"/>
      <protection hidden="1"/>
    </xf>
    <xf numFmtId="167" fontId="3" fillId="0" borderId="17" xfId="1" applyNumberFormat="1" applyFont="1" applyBorder="1" applyAlignment="1" applyProtection="1">
      <alignment horizontal="center" vertical="center" wrapText="1"/>
      <protection hidden="1"/>
    </xf>
    <xf numFmtId="167" fontId="3" fillId="0" borderId="18" xfId="1" applyNumberFormat="1" applyFont="1" applyBorder="1" applyAlignment="1" applyProtection="1">
      <alignment horizontal="center" vertical="center" wrapText="1"/>
      <protection hidden="1"/>
    </xf>
    <xf numFmtId="167" fontId="3" fillId="0" borderId="57" xfId="1" applyNumberFormat="1" applyFont="1" applyBorder="1" applyAlignment="1" applyProtection="1">
      <alignment horizontal="center" vertical="center" wrapText="1"/>
      <protection hidden="1"/>
    </xf>
    <xf numFmtId="167" fontId="3" fillId="3" borderId="41" xfId="1" applyNumberFormat="1" applyFont="1" applyFill="1" applyBorder="1" applyAlignment="1" applyProtection="1">
      <alignment horizontal="center" vertical="center" wrapText="1"/>
      <protection hidden="1"/>
    </xf>
    <xf numFmtId="167" fontId="3" fillId="3" borderId="54" xfId="1" applyNumberFormat="1" applyFont="1" applyFill="1" applyBorder="1" applyAlignment="1" applyProtection="1">
      <alignment horizontal="center" vertical="center" wrapText="1"/>
      <protection hidden="1"/>
    </xf>
    <xf numFmtId="167" fontId="3" fillId="3" borderId="37" xfId="1" applyNumberFormat="1" applyFont="1" applyFill="1" applyBorder="1" applyAlignment="1" applyProtection="1">
      <alignment horizontal="center" vertical="center" wrapText="1"/>
      <protection hidden="1"/>
    </xf>
    <xf numFmtId="167" fontId="3" fillId="3" borderId="74" xfId="1" applyNumberFormat="1" applyFont="1" applyFill="1" applyBorder="1" applyAlignment="1" applyProtection="1">
      <alignment horizontal="center" vertical="center" wrapText="1"/>
      <protection hidden="1"/>
    </xf>
    <xf numFmtId="167" fontId="3" fillId="0" borderId="31" xfId="1" applyNumberFormat="1" applyFont="1" applyBorder="1" applyAlignment="1" applyProtection="1">
      <alignment horizontal="center" vertical="center" wrapText="1"/>
      <protection hidden="1"/>
    </xf>
    <xf numFmtId="167" fontId="3" fillId="0" borderId="32" xfId="1" applyNumberFormat="1" applyFont="1" applyBorder="1" applyAlignment="1" applyProtection="1">
      <alignment horizontal="center" vertical="center" wrapText="1"/>
      <protection hidden="1"/>
    </xf>
    <xf numFmtId="9" fontId="3" fillId="0" borderId="52" xfId="3" applyFont="1" applyBorder="1" applyAlignment="1" applyProtection="1">
      <alignment horizontal="center" vertical="center" wrapText="1"/>
      <protection hidden="1"/>
    </xf>
    <xf numFmtId="9" fontId="3" fillId="0" borderId="29" xfId="3" applyFont="1" applyBorder="1" applyAlignment="1" applyProtection="1">
      <alignment horizontal="center" vertical="center" wrapText="1"/>
      <protection hidden="1"/>
    </xf>
    <xf numFmtId="9" fontId="3" fillId="0" borderId="62" xfId="3" applyFont="1" applyBorder="1" applyAlignment="1" applyProtection="1">
      <alignment horizontal="center" vertical="center" wrapText="1"/>
      <protection hidden="1"/>
    </xf>
    <xf numFmtId="0" fontId="3" fillId="0" borderId="53" xfId="0" applyFont="1" applyBorder="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61" xfId="0" applyFont="1" applyBorder="1" applyAlignment="1" applyProtection="1">
      <alignment horizontal="center" vertical="center" wrapText="1"/>
      <protection hidden="1"/>
    </xf>
    <xf numFmtId="0" fontId="3" fillId="0" borderId="50"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3" fillId="0" borderId="63" xfId="0" applyFont="1" applyBorder="1" applyAlignment="1" applyProtection="1">
      <alignment horizontal="center" vertical="center" wrapText="1"/>
      <protection hidden="1"/>
    </xf>
    <xf numFmtId="167" fontId="3" fillId="0" borderId="60" xfId="1" applyNumberFormat="1" applyFont="1" applyBorder="1" applyAlignment="1" applyProtection="1">
      <alignment horizontal="center" vertical="center"/>
      <protection hidden="1"/>
    </xf>
    <xf numFmtId="0" fontId="3" fillId="0" borderId="48" xfId="0" applyFont="1" applyBorder="1" applyAlignment="1" applyProtection="1">
      <alignment horizontal="center" vertical="center" wrapText="1"/>
      <protection hidden="1"/>
    </xf>
    <xf numFmtId="0" fontId="3" fillId="0" borderId="44" xfId="0" applyFont="1" applyBorder="1" applyAlignment="1" applyProtection="1">
      <alignment horizontal="center" vertical="center" wrapText="1"/>
      <protection hidden="1"/>
    </xf>
    <xf numFmtId="0" fontId="1" fillId="0" borderId="0" xfId="0" applyFont="1" applyAlignment="1" applyProtection="1">
      <alignment horizontal="left" vertical="center" wrapText="1"/>
      <protection hidden="1"/>
    </xf>
    <xf numFmtId="167" fontId="3" fillId="3" borderId="66" xfId="1" applyNumberFormat="1" applyFont="1" applyFill="1" applyBorder="1" applyAlignment="1" applyProtection="1">
      <alignment horizontal="center" vertical="center" wrapText="1"/>
      <protection hidden="1"/>
    </xf>
    <xf numFmtId="167" fontId="3" fillId="3" borderId="23" xfId="1" applyNumberFormat="1" applyFont="1" applyFill="1" applyBorder="1" applyAlignment="1" applyProtection="1">
      <alignment horizontal="center" vertical="center" wrapText="1"/>
      <protection hidden="1"/>
    </xf>
    <xf numFmtId="167" fontId="3" fillId="38" borderId="65" xfId="1" applyNumberFormat="1" applyFont="1" applyFill="1" applyBorder="1" applyAlignment="1" applyProtection="1">
      <alignment horizontal="center" vertical="center" wrapText="1"/>
      <protection hidden="1"/>
    </xf>
    <xf numFmtId="167" fontId="3" fillId="38" borderId="24" xfId="1" applyNumberFormat="1" applyFont="1" applyFill="1" applyBorder="1" applyAlignment="1" applyProtection="1">
      <alignment horizontal="center" vertical="center" wrapText="1"/>
      <protection hidden="1"/>
    </xf>
    <xf numFmtId="0" fontId="3" fillId="0" borderId="49"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wrapText="1"/>
      <protection hidden="1"/>
    </xf>
    <xf numFmtId="167" fontId="3" fillId="3" borderId="50" xfId="1" applyNumberFormat="1" applyFont="1" applyFill="1" applyBorder="1" applyAlignment="1" applyProtection="1">
      <alignment horizontal="center" vertical="center" wrapText="1"/>
      <protection hidden="1"/>
    </xf>
    <xf numFmtId="167" fontId="3" fillId="3" borderId="63" xfId="1" applyNumberFormat="1" applyFont="1" applyFill="1" applyBorder="1" applyAlignment="1" applyProtection="1">
      <alignment horizontal="center" vertical="center" wrapText="1"/>
      <protection hidden="1"/>
    </xf>
    <xf numFmtId="167" fontId="3" fillId="38" borderId="41" xfId="1" applyNumberFormat="1" applyFont="1" applyFill="1" applyBorder="1" applyAlignment="1" applyProtection="1">
      <alignment horizontal="center" vertical="center" wrapText="1"/>
      <protection hidden="1"/>
    </xf>
    <xf numFmtId="167" fontId="3" fillId="38" borderId="72" xfId="1" applyNumberFormat="1" applyFont="1" applyFill="1" applyBorder="1" applyAlignment="1" applyProtection="1">
      <alignment horizontal="center" vertical="center" wrapText="1"/>
      <protection hidden="1"/>
    </xf>
    <xf numFmtId="167" fontId="3" fillId="0" borderId="64" xfId="1" applyNumberFormat="1" applyFont="1" applyFill="1" applyBorder="1" applyAlignment="1" applyProtection="1">
      <alignment horizontal="center" vertical="center" wrapText="1"/>
      <protection hidden="1"/>
    </xf>
    <xf numFmtId="167" fontId="3" fillId="0" borderId="66" xfId="1" applyNumberFormat="1" applyFont="1" applyFill="1" applyBorder="1" applyAlignment="1" applyProtection="1">
      <alignment horizontal="center" vertical="center" wrapText="1"/>
      <protection hidden="1"/>
    </xf>
    <xf numFmtId="167" fontId="3" fillId="0" borderId="29" xfId="1" applyNumberFormat="1" applyFont="1" applyFill="1" applyBorder="1" applyAlignment="1" applyProtection="1">
      <alignment horizontal="center" vertical="center" wrapText="1"/>
      <protection hidden="1"/>
    </xf>
    <xf numFmtId="167" fontId="3" fillId="0" borderId="62" xfId="1" applyNumberFormat="1" applyFont="1" applyFill="1" applyBorder="1" applyAlignment="1" applyProtection="1">
      <alignment horizontal="center" vertical="center" wrapText="1"/>
      <protection hidden="1"/>
    </xf>
    <xf numFmtId="167" fontId="3" fillId="0" borderId="28" xfId="1" applyNumberFormat="1" applyFont="1" applyFill="1" applyBorder="1" applyAlignment="1" applyProtection="1">
      <alignment horizontal="center" vertical="center" wrapText="1"/>
      <protection hidden="1"/>
    </xf>
    <xf numFmtId="167" fontId="3" fillId="0" borderId="61" xfId="1" applyNumberFormat="1" applyFont="1" applyFill="1" applyBorder="1" applyAlignment="1" applyProtection="1">
      <alignment horizontal="center" vertical="center" wrapText="1"/>
      <protection hidden="1"/>
    </xf>
    <xf numFmtId="0" fontId="5" fillId="0" borderId="0" xfId="0" applyFont="1" applyAlignment="1">
      <alignment horizontal="left"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58" xfId="0" applyFont="1" applyBorder="1" applyAlignment="1" applyProtection="1">
      <alignment horizontal="center" vertical="center"/>
      <protection hidden="1"/>
    </xf>
    <xf numFmtId="0" fontId="3" fillId="0" borderId="59" xfId="0" applyFont="1" applyBorder="1" applyAlignment="1" applyProtection="1">
      <alignment horizontal="center" vertical="center"/>
      <protection hidden="1"/>
    </xf>
    <xf numFmtId="0" fontId="3" fillId="0" borderId="60" xfId="0" applyFont="1" applyBorder="1" applyAlignment="1" applyProtection="1">
      <alignment horizontal="center" vertical="center"/>
      <protection hidden="1"/>
    </xf>
    <xf numFmtId="0" fontId="5" fillId="0" borderId="0" xfId="0" applyFont="1" applyAlignment="1" applyProtection="1">
      <alignment horizontal="left" vertical="center" wrapText="1"/>
      <protection hidden="1"/>
    </xf>
    <xf numFmtId="0" fontId="39" fillId="0" borderId="58" xfId="0" applyFont="1" applyBorder="1" applyAlignment="1" applyProtection="1">
      <alignment horizontal="center"/>
      <protection hidden="1"/>
    </xf>
    <xf numFmtId="0" fontId="39" fillId="0" borderId="60" xfId="0" applyFont="1" applyBorder="1" applyAlignment="1" applyProtection="1">
      <alignment horizontal="center"/>
      <protection hidden="1"/>
    </xf>
    <xf numFmtId="0" fontId="39" fillId="0" borderId="59" xfId="0" applyFont="1" applyBorder="1" applyAlignment="1" applyProtection="1">
      <alignment horizontal="center"/>
      <protection hidden="1"/>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20" xfId="0" applyFont="1" applyBorder="1" applyAlignment="1">
      <alignment horizontal="center"/>
    </xf>
    <xf numFmtId="0" fontId="3" fillId="0" borderId="44" xfId="0" applyFont="1" applyBorder="1" applyAlignment="1">
      <alignment horizontal="center"/>
    </xf>
  </cellXfs>
  <cellStyles count="98">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68" xr:uid="{8B9C2C10-FAE1-4D74-A054-682BE215575D}"/>
    <cellStyle name="60% - Accent2 2" xfId="69" xr:uid="{9B550629-4100-4FB2-894D-C3EA1F24912B}"/>
    <cellStyle name="60% - Accent3 2" xfId="70" xr:uid="{40D6276E-7469-4622-A29E-53B994C1736F}"/>
    <cellStyle name="60% - Accent4 2" xfId="71" xr:uid="{9755B1DE-C2A7-4EE2-AF7F-338FF04E7E38}"/>
    <cellStyle name="60% - Accent5 2" xfId="72" xr:uid="{4F0C747D-B71A-4590-A016-E7CEC8367CFC}"/>
    <cellStyle name="60% - Accent6 2" xfId="73" xr:uid="{13841C70-97D0-44A7-9435-654D870E1066}"/>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Bad" xfId="11" builtinId="27" customBuiltin="1"/>
    <cellStyle name="Calculation" xfId="14" builtinId="22" customBuiltin="1"/>
    <cellStyle name="Check Cell" xfId="16" builtinId="23" customBuiltin="1"/>
    <cellStyle name="Comma" xfId="1" builtinId="3"/>
    <cellStyle name="Comma 2" xfId="41" xr:uid="{0AA0BD8F-24A6-4F5A-933B-7406D38F2311}"/>
    <cellStyle name="Comma 2 2" xfId="43" xr:uid="{7BA1B733-02C2-4783-BA19-58D1E6F06D3B}"/>
    <cellStyle name="Comma 2 2 2" xfId="55" xr:uid="{079C3512-D005-4C0D-9459-3C129DA612E2}"/>
    <cellStyle name="Comma 2 2 3" xfId="90" xr:uid="{51718184-BF44-4C91-B5BD-A0B3F0DB64D8}"/>
    <cellStyle name="Comma 2 3" xfId="77" xr:uid="{0E28308F-4165-41AA-B861-D5BC940446F0}"/>
    <cellStyle name="Comma 2 3 2" xfId="96" xr:uid="{BE512432-B7E0-4B85-B8CA-FF032831055A}"/>
    <cellStyle name="Comma 3" xfId="42" xr:uid="{F8F62219-E604-42E7-B8D0-D39DABE32C63}"/>
    <cellStyle name="Comma 3 2" xfId="56" xr:uid="{A64BAD22-1132-48A4-891B-932C660B4B77}"/>
    <cellStyle name="Comma 3 2 2" xfId="93" xr:uid="{D1A1A919-BFA7-4CA7-A409-4F8BFDFAA3A1}"/>
    <cellStyle name="Comma 4" xfId="57" xr:uid="{EB52EB5C-C5FC-4577-8AA4-2A99550783CA}"/>
    <cellStyle name="Comma 4 2" xfId="58" xr:uid="{285DB415-70B4-45A4-8D9B-5C6F2B95B738}"/>
    <cellStyle name="Comma 4 3" xfId="94" xr:uid="{F5F053DE-9B7D-4866-AE5D-7C2146C25E0F}"/>
    <cellStyle name="Comma 5" xfId="66" xr:uid="{26958C76-08FA-4812-BA7C-D037DA48C586}"/>
    <cellStyle name="Comma 5 2" xfId="95" xr:uid="{1791CE91-9116-4080-A965-C234823A146A}"/>
    <cellStyle name="Comma 6" xfId="39" xr:uid="{F1043023-E5D3-4156-BB04-5973B943DC08}"/>
    <cellStyle name="Currency" xfId="2" builtinId="4"/>
    <cellStyle name="Euro" xfId="59" xr:uid="{DBD939EA-6513-4187-8492-8F5B8601844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89" builtinId="8"/>
    <cellStyle name="Input" xfId="12" builtinId="20" customBuiltin="1"/>
    <cellStyle name="Linked Cell" xfId="15" builtinId="24" customBuiltin="1"/>
    <cellStyle name="Milliers 2" xfId="44" xr:uid="{E84E1903-6170-4BC3-B023-1DA7B90B8DCA}"/>
    <cellStyle name="Milliers 2 2" xfId="79" xr:uid="{C9CB8EE2-5941-4EDC-938F-0587A28C9F33}"/>
    <cellStyle name="Milliers 2 3" xfId="91" xr:uid="{92FD9012-B1FA-4B18-83E0-F569F5956799}"/>
    <cellStyle name="Milliers 5" xfId="45" xr:uid="{E7D5D05E-4BE1-4CBF-99E2-A2652BC7C87C}"/>
    <cellStyle name="Milliers 5 2" xfId="92" xr:uid="{AAFAF04F-4B0D-440C-B2F8-3FB42A1381C3}"/>
    <cellStyle name="Neutral 2" xfId="67" xr:uid="{7FE66AC2-48E0-46D3-B507-DDCB8B7D2278}"/>
    <cellStyle name="Normal" xfId="0" builtinId="0"/>
    <cellStyle name="Normal 10" xfId="46" xr:uid="{B07C5A96-48C1-43B5-8896-1824A185FEA4}"/>
    <cellStyle name="Normal 10 2" xfId="88" xr:uid="{92D73848-17A5-4568-A42E-A444EC803759}"/>
    <cellStyle name="Normal 10 2 2" xfId="97" xr:uid="{5A782191-87E3-4413-B96E-582BE8CABA4A}"/>
    <cellStyle name="Normal 11" xfId="65" xr:uid="{F14C9542-8920-496F-AE17-8853CD8E78A7}"/>
    <cellStyle name="Normal 11 2" xfId="47" xr:uid="{564AB04C-4028-4095-B369-6EC3257768B8}"/>
    <cellStyle name="Normal 17" xfId="81" xr:uid="{A79B00E8-0DA1-4882-B96E-F26101F156BF}"/>
    <cellStyle name="Normal 2" xfId="4" xr:uid="{FB82EA76-1A91-498C-8706-CF26EB974692}"/>
    <cellStyle name="Normal 2 2" xfId="60" xr:uid="{BA49A61D-7DDB-45EE-B740-67D7F3AC55F7}"/>
    <cellStyle name="Normal 2 2 2" xfId="83" xr:uid="{3087320A-879B-461F-9D27-86D8A2949D38}"/>
    <cellStyle name="Normal 2 2 5" xfId="63" xr:uid="{51DEF3F0-FE5B-4D42-B7CF-4C146ED67E45}"/>
    <cellStyle name="Normal 2 3" xfId="87" xr:uid="{0AAA7D65-950B-4716-B65E-9D42A2A36C84}"/>
    <cellStyle name="Normal 2 4" xfId="48" xr:uid="{2C43208B-DF3F-4ED0-A288-10E863A6FAE3}"/>
    <cellStyle name="Normal 20" xfId="62" xr:uid="{A54883CD-31B5-4D04-862F-335E5B87F790}"/>
    <cellStyle name="Normal 24" xfId="84" xr:uid="{AB2B2FFD-6F05-43D8-A553-E91CB9CA9540}"/>
    <cellStyle name="Normal 3" xfId="40" xr:uid="{33F46D94-C780-4B99-82A4-76C5108248FD}"/>
    <cellStyle name="Normal 3 2" xfId="61" xr:uid="{21FA3EA8-FC7C-4FDB-B7BD-4569181B51A7}"/>
    <cellStyle name="Normal 3 3" xfId="76" xr:uid="{258747C7-6DBE-4A0D-AA16-B27D23B640E2}"/>
    <cellStyle name="Normal 4" xfId="49" xr:uid="{1434A4C4-B585-489D-9887-113F1BC3B152}"/>
    <cellStyle name="Normal 4 2" xfId="74" xr:uid="{1AC9FA6A-20D4-414A-83FE-135F69B9D08B}"/>
    <cellStyle name="Normal 4 2 2" xfId="82" xr:uid="{0924DB6C-B516-44E1-A9E0-080D3B6EE983}"/>
    <cellStyle name="Normal 4 3" xfId="80" xr:uid="{97B72BF0-02CA-4DE7-A6A0-28B83F102C5A}"/>
    <cellStyle name="Normal 5" xfId="50" xr:uid="{3ECFEC07-4AF4-4AF4-A721-C327524A3CBE}"/>
    <cellStyle name="Normal 5 2" xfId="75" xr:uid="{525FDE31-B6E0-4ACC-AA56-06876356D614}"/>
    <cellStyle name="Normal 5 3" xfId="78" xr:uid="{8FF80473-E268-4F3B-8F12-2FFBFD1F727E}"/>
    <cellStyle name="Normal 6" xfId="51" xr:uid="{976AD953-290E-44B1-9532-AE92618C11BA}"/>
    <cellStyle name="Normal 6 2" xfId="86" xr:uid="{B6EBD9DA-EDA1-4211-B811-D9AB939893CA}"/>
    <cellStyle name="Normal 7" xfId="52" xr:uid="{FEC690AC-C670-4569-897F-2957C1113623}"/>
    <cellStyle name="Normal 7 2" xfId="53" xr:uid="{8580255E-39EC-47FC-961F-9927454803D6}"/>
    <cellStyle name="Normal 8" xfId="54" xr:uid="{4B2F7BCC-F3BF-4AFE-A108-DAEBBC2C80DD}"/>
    <cellStyle name="Normal 9" xfId="64" xr:uid="{30D5FDEF-1CAB-4263-B5B0-CC0C0C4CE43E}"/>
    <cellStyle name="Normal 93" xfId="85" xr:uid="{CE02A391-6DE7-4D10-BB39-81325C34DE77}"/>
    <cellStyle name="Note" xfId="18" builtinId="10" customBuiltin="1"/>
    <cellStyle name="Output" xfId="13" builtinId="21" customBuiltin="1"/>
    <cellStyle name="Percent" xfId="3" builtinId="5"/>
    <cellStyle name="Title" xfId="5" builtinId="15" customBuiltin="1"/>
    <cellStyle name="Total" xfId="20" builtinId="25" customBuiltin="1"/>
    <cellStyle name="Warning Text" xfId="17" builtinId="11" customBuiltin="1"/>
  </cellStyles>
  <dxfs count="2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Jesse Audet" id="{B7E4D55F-3657-4534-8170-119B99B6A970}" userId="S::jaudet@barrick.com::b6f6f5b4-d8a9-4404-a4b9-09af981e0a9a" providerId="AD"/>
  <person displayName="Pascal Snyman" id="{9DB7FD1A-0EF4-4590-903E-2E3C7C86E3B2}" userId="S::Pascal.Snyman@digbywells.com::6eec17fb-7997-46eb-a549-2dbe254933b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54" dT="2022-05-04T12:19:18.21" personId="{9DB7FD1A-0EF4-4590-903E-2E3C7C86E3B2}" id="{974A34D0-F9AC-4334-911D-0BFE4B8AD0D4}">
    <text>Not discussed in sifficient detail in the 2021 Annual Report</text>
  </threadedComment>
</ThreadedComments>
</file>

<file path=xl/threadedComments/threadedComment2.xml><?xml version="1.0" encoding="utf-8"?>
<ThreadedComments xmlns="http://schemas.microsoft.com/office/spreadsheetml/2018/threadedcomments" xmlns:x="http://schemas.openxmlformats.org/spreadsheetml/2006/main">
  <threadedComment ref="AH1" dT="2020-02-24T14:19:11.26" personId="{B7E4D55F-3657-4534-8170-119B99B6A970}" id="{DB0B12E7-2D3C-454C-9C47-4E1F89CF28B7}">
    <text>Toronto not included</text>
  </threadedComment>
  <threadedComment ref="AP1" dT="2020-02-24T14:19:37.76" personId="{B7E4D55F-3657-4534-8170-119B99B6A970}" id="{4D058CE9-B2D3-4DCC-9881-EFB2A823656F}">
    <text>Does not include the other closure or the regional 'office'</text>
  </threadedComment>
  <threadedComment ref="X3" dT="2020-02-14T19:21:54.82" personId="{B7E4D55F-3657-4534-8170-119B99B6A970}" id="{908F35B3-BF86-4B8F-A73A-703E75B1E4B8}">
    <text>Equipment sold</text>
  </threadedComment>
  <threadedComment ref="A4" dT="2020-02-24T14:34:15.24" personId="{B7E4D55F-3657-4534-8170-119B99B6A970}" id="{C49ECB2B-6E7D-4DEF-AD28-F7510A91AEE7}">
    <text>Categories inlcuded in RRL template. If we just roll up to total revenue may be easier?</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ustainability@barrick.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 Id="rId4" Type="http://schemas.microsoft.com/office/2017/10/relationships/threadedComment" Target="../threadedComments/threadedComment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sustainability@barrick.com"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4CDB6-70D0-4BFC-BB6A-DB78AADD5D82}">
  <dimension ref="A1:J124"/>
  <sheetViews>
    <sheetView showGridLines="0" topLeftCell="B1" zoomScale="70" zoomScaleNormal="70" zoomScalePageLayoutView="90" workbookViewId="0">
      <pane ySplit="1" topLeftCell="A108" activePane="bottomLeft" state="frozen"/>
      <selection pane="bottomLeft" activeCell="F129" sqref="F129"/>
    </sheetView>
  </sheetViews>
  <sheetFormatPr defaultColWidth="8.81640625" defaultRowHeight="14.5" x14ac:dyDescent="0.35"/>
  <cols>
    <col min="1" max="1" width="11" style="85" customWidth="1"/>
    <col min="2" max="2" width="21" style="86" customWidth="1"/>
    <col min="3" max="3" width="16.54296875" style="85" customWidth="1"/>
    <col min="4" max="4" width="32" style="86" customWidth="1"/>
    <col min="5" max="5" width="10.1796875" style="86" customWidth="1"/>
    <col min="6" max="6" width="58.81640625" style="89" customWidth="1"/>
    <col min="7" max="7" width="18" style="87" customWidth="1"/>
    <col min="8" max="9" width="19.453125" style="87" customWidth="1"/>
    <col min="10" max="10" width="106.453125" style="88" customWidth="1"/>
    <col min="11" max="16384" width="8.81640625" style="77"/>
  </cols>
  <sheetData>
    <row r="1" spans="1:10" s="148" customFormat="1" ht="26" x14ac:dyDescent="0.35">
      <c r="A1" s="74" t="s">
        <v>0</v>
      </c>
      <c r="B1" s="74" t="s">
        <v>1</v>
      </c>
      <c r="C1" s="74" t="s">
        <v>2</v>
      </c>
      <c r="D1" s="74" t="s">
        <v>3</v>
      </c>
      <c r="E1" s="74" t="s">
        <v>4</v>
      </c>
      <c r="F1" s="74" t="s">
        <v>5</v>
      </c>
      <c r="G1" s="74" t="s">
        <v>6</v>
      </c>
      <c r="H1" s="74" t="s">
        <v>7</v>
      </c>
      <c r="I1" s="74" t="s">
        <v>8</v>
      </c>
      <c r="J1" s="74" t="s">
        <v>9</v>
      </c>
    </row>
    <row r="2" spans="1:10" x14ac:dyDescent="0.35">
      <c r="A2" s="75" t="s">
        <v>10</v>
      </c>
      <c r="B2" s="76" t="s">
        <v>11</v>
      </c>
      <c r="C2" s="75" t="s">
        <v>12</v>
      </c>
      <c r="D2" s="76" t="s">
        <v>13</v>
      </c>
      <c r="E2" s="76" t="s">
        <v>14</v>
      </c>
      <c r="F2" s="76" t="s">
        <v>15</v>
      </c>
      <c r="G2" s="93"/>
      <c r="H2" s="93"/>
      <c r="I2" s="93"/>
      <c r="J2" s="94" t="s">
        <v>16</v>
      </c>
    </row>
    <row r="3" spans="1:10" ht="25" x14ac:dyDescent="0.35">
      <c r="A3" s="78" t="s">
        <v>10</v>
      </c>
      <c r="B3" s="79" t="s">
        <v>11</v>
      </c>
      <c r="C3" s="78" t="s">
        <v>17</v>
      </c>
      <c r="D3" s="79" t="s">
        <v>18</v>
      </c>
      <c r="E3" s="79" t="s">
        <v>14</v>
      </c>
      <c r="F3" s="79" t="s">
        <v>19</v>
      </c>
      <c r="G3" s="95"/>
      <c r="H3" s="95"/>
      <c r="I3" s="95"/>
      <c r="J3" s="96" t="s">
        <v>20</v>
      </c>
    </row>
    <row r="4" spans="1:10" x14ac:dyDescent="0.35">
      <c r="A4" s="78" t="s">
        <v>10</v>
      </c>
      <c r="B4" s="79" t="s">
        <v>11</v>
      </c>
      <c r="C4" s="78" t="s">
        <v>21</v>
      </c>
      <c r="D4" s="79" t="s">
        <v>22</v>
      </c>
      <c r="E4" s="79" t="s">
        <v>14</v>
      </c>
      <c r="F4" s="142" t="s">
        <v>23</v>
      </c>
      <c r="G4" s="143"/>
      <c r="H4" s="143"/>
      <c r="I4" s="143"/>
      <c r="J4" s="96" t="s">
        <v>24</v>
      </c>
    </row>
    <row r="5" spans="1:10" x14ac:dyDescent="0.35">
      <c r="A5" s="78" t="s">
        <v>10</v>
      </c>
      <c r="B5" s="79" t="s">
        <v>11</v>
      </c>
      <c r="C5" s="78" t="s">
        <v>25</v>
      </c>
      <c r="D5" s="79" t="s">
        <v>26</v>
      </c>
      <c r="E5" s="79" t="s">
        <v>14</v>
      </c>
      <c r="F5" s="142" t="s">
        <v>23</v>
      </c>
      <c r="G5" s="143"/>
      <c r="H5" s="143"/>
      <c r="I5" s="143"/>
      <c r="J5" s="144"/>
    </row>
    <row r="6" spans="1:10" x14ac:dyDescent="0.35">
      <c r="A6" s="78" t="s">
        <v>10</v>
      </c>
      <c r="B6" s="79" t="s">
        <v>11</v>
      </c>
      <c r="C6" s="78" t="s">
        <v>27</v>
      </c>
      <c r="D6" s="79" t="s">
        <v>28</v>
      </c>
      <c r="E6" s="79" t="s">
        <v>14</v>
      </c>
      <c r="F6" s="79" t="s">
        <v>19</v>
      </c>
      <c r="G6" s="95"/>
      <c r="H6" s="95"/>
      <c r="I6" s="95"/>
      <c r="J6" s="96" t="s">
        <v>29</v>
      </c>
    </row>
    <row r="7" spans="1:10" ht="62.5" x14ac:dyDescent="0.35">
      <c r="A7" s="78" t="s">
        <v>10</v>
      </c>
      <c r="B7" s="79" t="s">
        <v>11</v>
      </c>
      <c r="C7" s="78" t="s">
        <v>30</v>
      </c>
      <c r="D7" s="79" t="s">
        <v>31</v>
      </c>
      <c r="E7" s="79" t="s">
        <v>14</v>
      </c>
      <c r="F7" s="79" t="s">
        <v>32</v>
      </c>
      <c r="G7" s="95"/>
      <c r="H7" s="95"/>
      <c r="I7" s="95"/>
      <c r="J7" s="154" t="s">
        <v>33</v>
      </c>
    </row>
    <row r="8" spans="1:10" x14ac:dyDescent="0.35">
      <c r="A8" s="880" t="s">
        <v>10</v>
      </c>
      <c r="B8" s="883" t="s">
        <v>11</v>
      </c>
      <c r="C8" s="880" t="s">
        <v>34</v>
      </c>
      <c r="D8" s="883" t="s">
        <v>35</v>
      </c>
      <c r="E8" s="883" t="s">
        <v>14</v>
      </c>
      <c r="F8" s="883" t="s">
        <v>36</v>
      </c>
      <c r="G8" s="877"/>
      <c r="H8" s="877"/>
      <c r="I8" s="145"/>
      <c r="J8" s="162" t="s">
        <v>37</v>
      </c>
    </row>
    <row r="9" spans="1:10" x14ac:dyDescent="0.35">
      <c r="A9" s="881"/>
      <c r="B9" s="884"/>
      <c r="C9" s="881"/>
      <c r="D9" s="884"/>
      <c r="E9" s="884"/>
      <c r="F9" s="884"/>
      <c r="G9" s="878"/>
      <c r="H9" s="878"/>
      <c r="J9" s="163" t="s">
        <v>38</v>
      </c>
    </row>
    <row r="10" spans="1:10" ht="15" customHeight="1" x14ac:dyDescent="0.35">
      <c r="A10" s="881"/>
      <c r="B10" s="884"/>
      <c r="C10" s="881"/>
      <c r="D10" s="884"/>
      <c r="E10" s="884"/>
      <c r="F10" s="884"/>
      <c r="G10" s="878"/>
      <c r="H10" s="878"/>
      <c r="J10" s="163" t="s">
        <v>39</v>
      </c>
    </row>
    <row r="11" spans="1:10" ht="14.25" customHeight="1" x14ac:dyDescent="0.35">
      <c r="A11" s="881"/>
      <c r="B11" s="884"/>
      <c r="C11" s="881"/>
      <c r="D11" s="884"/>
      <c r="E11" s="884"/>
      <c r="F11" s="884"/>
      <c r="G11" s="878"/>
      <c r="H11" s="878"/>
      <c r="J11" s="163" t="s">
        <v>40</v>
      </c>
    </row>
    <row r="12" spans="1:10" ht="30" customHeight="1" x14ac:dyDescent="0.35">
      <c r="A12" s="882"/>
      <c r="B12" s="885"/>
      <c r="C12" s="882"/>
      <c r="D12" s="885"/>
      <c r="E12" s="885"/>
      <c r="F12" s="885"/>
      <c r="G12" s="879"/>
      <c r="H12" s="879"/>
      <c r="I12" s="146"/>
      <c r="J12" s="164" t="s">
        <v>41</v>
      </c>
    </row>
    <row r="13" spans="1:10" ht="25" x14ac:dyDescent="0.35">
      <c r="A13" s="78" t="s">
        <v>10</v>
      </c>
      <c r="B13" s="79" t="s">
        <v>11</v>
      </c>
      <c r="C13" s="78" t="s">
        <v>42</v>
      </c>
      <c r="D13" s="79" t="s">
        <v>43</v>
      </c>
      <c r="E13" s="79" t="s">
        <v>14</v>
      </c>
      <c r="F13" s="79" t="s">
        <v>44</v>
      </c>
      <c r="G13" s="95"/>
      <c r="H13" s="95"/>
      <c r="I13" s="95"/>
      <c r="J13" s="154" t="s">
        <v>45</v>
      </c>
    </row>
    <row r="14" spans="1:10" x14ac:dyDescent="0.35">
      <c r="A14" s="78" t="s">
        <v>10</v>
      </c>
      <c r="B14" s="79" t="s">
        <v>11</v>
      </c>
      <c r="C14" s="78" t="s">
        <v>46</v>
      </c>
      <c r="D14" s="79" t="s">
        <v>47</v>
      </c>
      <c r="E14" s="79" t="s">
        <v>14</v>
      </c>
      <c r="F14" s="79" t="s">
        <v>48</v>
      </c>
      <c r="G14" s="143"/>
      <c r="H14" s="143"/>
      <c r="I14" s="143"/>
      <c r="J14" s="92"/>
    </row>
    <row r="15" spans="1:10" s="84" customFormat="1" ht="25" x14ac:dyDescent="0.35">
      <c r="A15" s="78" t="s">
        <v>10</v>
      </c>
      <c r="B15" s="79" t="s">
        <v>11</v>
      </c>
      <c r="C15" s="78" t="s">
        <v>49</v>
      </c>
      <c r="D15" s="79" t="s">
        <v>50</v>
      </c>
      <c r="E15" s="79" t="s">
        <v>14</v>
      </c>
      <c r="F15" s="79" t="s">
        <v>51</v>
      </c>
      <c r="G15" s="95"/>
      <c r="H15" s="95"/>
      <c r="I15" s="95"/>
      <c r="J15" s="154"/>
    </row>
    <row r="16" spans="1:10" ht="50" x14ac:dyDescent="0.35">
      <c r="A16" s="78" t="s">
        <v>10</v>
      </c>
      <c r="B16" s="79" t="s">
        <v>11</v>
      </c>
      <c r="C16" s="78" t="s">
        <v>52</v>
      </c>
      <c r="D16" s="79" t="s">
        <v>53</v>
      </c>
      <c r="E16" s="79" t="s">
        <v>14</v>
      </c>
      <c r="F16" s="79" t="s">
        <v>54</v>
      </c>
      <c r="G16" s="95"/>
      <c r="H16" s="95">
        <v>7</v>
      </c>
      <c r="I16" s="95"/>
      <c r="J16" s="154" t="s">
        <v>55</v>
      </c>
    </row>
    <row r="17" spans="1:10" x14ac:dyDescent="0.35">
      <c r="A17" s="78" t="s">
        <v>10</v>
      </c>
      <c r="B17" s="79" t="s">
        <v>11</v>
      </c>
      <c r="C17" s="78" t="s">
        <v>56</v>
      </c>
      <c r="D17" s="79" t="s">
        <v>57</v>
      </c>
      <c r="E17" s="79" t="s">
        <v>14</v>
      </c>
      <c r="F17" s="90" t="s">
        <v>23</v>
      </c>
      <c r="G17" s="91"/>
      <c r="H17" s="91"/>
      <c r="I17" s="91"/>
      <c r="J17" s="92"/>
    </row>
    <row r="18" spans="1:10" x14ac:dyDescent="0.35">
      <c r="A18" s="78" t="s">
        <v>10</v>
      </c>
      <c r="B18" s="79" t="s">
        <v>11</v>
      </c>
      <c r="C18" s="78" t="s">
        <v>58</v>
      </c>
      <c r="D18" s="79" t="s">
        <v>59</v>
      </c>
      <c r="E18" s="79" t="s">
        <v>14</v>
      </c>
      <c r="F18" s="90" t="s">
        <v>23</v>
      </c>
      <c r="G18" s="91"/>
      <c r="H18" s="91"/>
      <c r="I18" s="91"/>
      <c r="J18" s="92"/>
    </row>
    <row r="19" spans="1:10" x14ac:dyDescent="0.35">
      <c r="A19" s="78" t="s">
        <v>10</v>
      </c>
      <c r="B19" s="79" t="s">
        <v>11</v>
      </c>
      <c r="C19" s="78" t="s">
        <v>60</v>
      </c>
      <c r="D19" s="79" t="s">
        <v>61</v>
      </c>
      <c r="E19" s="79" t="s">
        <v>14</v>
      </c>
      <c r="F19" s="79" t="s">
        <v>62</v>
      </c>
      <c r="G19" s="143">
        <v>2</v>
      </c>
      <c r="H19" s="143"/>
      <c r="I19" s="143"/>
      <c r="J19" s="92"/>
    </row>
    <row r="20" spans="1:10" s="84" customFormat="1" x14ac:dyDescent="0.35">
      <c r="A20" s="78" t="s">
        <v>10</v>
      </c>
      <c r="B20" s="79" t="s">
        <v>11</v>
      </c>
      <c r="C20" s="78" t="s">
        <v>63</v>
      </c>
      <c r="D20" s="79" t="s">
        <v>64</v>
      </c>
      <c r="E20" s="79" t="s">
        <v>14</v>
      </c>
      <c r="F20" s="79" t="s">
        <v>65</v>
      </c>
      <c r="G20" s="95">
        <v>2</v>
      </c>
      <c r="H20" s="95"/>
      <c r="I20" s="95"/>
      <c r="J20" s="154"/>
    </row>
    <row r="21" spans="1:10" s="84" customFormat="1" ht="25" x14ac:dyDescent="0.35">
      <c r="A21" s="78" t="s">
        <v>10</v>
      </c>
      <c r="B21" s="79" t="s">
        <v>11</v>
      </c>
      <c r="C21" s="78" t="s">
        <v>66</v>
      </c>
      <c r="D21" s="79" t="s">
        <v>67</v>
      </c>
      <c r="E21" s="79" t="s">
        <v>14</v>
      </c>
      <c r="F21" s="79" t="s">
        <v>68</v>
      </c>
      <c r="G21" s="95">
        <v>2</v>
      </c>
      <c r="H21" s="95"/>
      <c r="I21" s="95">
        <f>16</f>
        <v>16</v>
      </c>
      <c r="J21" s="154"/>
    </row>
    <row r="22" spans="1:10" s="84" customFormat="1" ht="25" x14ac:dyDescent="0.35">
      <c r="A22" s="78" t="s">
        <v>10</v>
      </c>
      <c r="B22" s="79" t="s">
        <v>11</v>
      </c>
      <c r="C22" s="78" t="s">
        <v>69</v>
      </c>
      <c r="D22" s="79" t="s">
        <v>70</v>
      </c>
      <c r="E22" s="79" t="s">
        <v>14</v>
      </c>
      <c r="F22" s="79" t="s">
        <v>71</v>
      </c>
      <c r="G22" s="95"/>
      <c r="H22" s="95"/>
      <c r="I22" s="95"/>
      <c r="J22" s="154"/>
    </row>
    <row r="23" spans="1:10" s="84" customFormat="1" x14ac:dyDescent="0.35">
      <c r="A23" s="78" t="s">
        <v>10</v>
      </c>
      <c r="B23" s="79" t="s">
        <v>11</v>
      </c>
      <c r="C23" s="78" t="s">
        <v>72</v>
      </c>
      <c r="D23" s="79" t="s">
        <v>73</v>
      </c>
      <c r="E23" s="79" t="s">
        <v>14</v>
      </c>
      <c r="F23" s="79" t="s">
        <v>74</v>
      </c>
      <c r="G23" s="95">
        <v>2</v>
      </c>
      <c r="H23" s="95"/>
      <c r="I23" s="95"/>
      <c r="J23" s="154"/>
    </row>
    <row r="24" spans="1:10" s="84" customFormat="1" x14ac:dyDescent="0.35">
      <c r="A24" s="78"/>
      <c r="B24" s="79" t="s">
        <v>11</v>
      </c>
      <c r="C24" s="78" t="s">
        <v>75</v>
      </c>
      <c r="D24" s="79" t="s">
        <v>76</v>
      </c>
      <c r="E24" s="79"/>
      <c r="F24" s="79" t="s">
        <v>74</v>
      </c>
      <c r="G24" s="95">
        <v>2</v>
      </c>
      <c r="H24" s="95"/>
      <c r="I24" s="95"/>
      <c r="J24" s="154"/>
    </row>
    <row r="25" spans="1:10" s="84" customFormat="1" ht="37.5" x14ac:dyDescent="0.35">
      <c r="A25" s="78"/>
      <c r="B25" s="79" t="s">
        <v>11</v>
      </c>
      <c r="C25" s="78" t="s">
        <v>77</v>
      </c>
      <c r="D25" s="79" t="s">
        <v>78</v>
      </c>
      <c r="E25" s="79"/>
      <c r="F25" s="79" t="s">
        <v>74</v>
      </c>
      <c r="G25" s="95"/>
      <c r="H25" s="95"/>
      <c r="I25" s="95"/>
      <c r="J25" s="154"/>
    </row>
    <row r="26" spans="1:10" s="84" customFormat="1" ht="25" x14ac:dyDescent="0.35">
      <c r="A26" s="78"/>
      <c r="B26" s="79" t="s">
        <v>11</v>
      </c>
      <c r="C26" s="78" t="s">
        <v>79</v>
      </c>
      <c r="D26" s="79" t="s">
        <v>80</v>
      </c>
      <c r="E26" s="79"/>
      <c r="F26" s="79" t="s">
        <v>81</v>
      </c>
      <c r="G26" s="95">
        <v>10</v>
      </c>
      <c r="H26" s="95"/>
      <c r="I26" s="95"/>
      <c r="J26" s="154"/>
    </row>
    <row r="27" spans="1:10" ht="25" x14ac:dyDescent="0.35">
      <c r="A27" s="78"/>
      <c r="B27" s="79" t="s">
        <v>11</v>
      </c>
      <c r="C27" s="78" t="s">
        <v>82</v>
      </c>
      <c r="D27" s="79" t="s">
        <v>83</v>
      </c>
      <c r="E27" s="79" t="s">
        <v>14</v>
      </c>
      <c r="F27" s="90" t="s">
        <v>84</v>
      </c>
      <c r="G27" s="91"/>
      <c r="H27" s="91"/>
      <c r="I27" s="91"/>
      <c r="J27" s="92"/>
    </row>
    <row r="28" spans="1:10" x14ac:dyDescent="0.35">
      <c r="A28" s="78"/>
      <c r="B28" s="79" t="s">
        <v>11</v>
      </c>
      <c r="C28" s="78" t="s">
        <v>85</v>
      </c>
      <c r="D28" s="79" t="s">
        <v>86</v>
      </c>
      <c r="E28" s="79" t="s">
        <v>14</v>
      </c>
      <c r="F28" s="90" t="s">
        <v>84</v>
      </c>
      <c r="G28" s="91"/>
      <c r="H28" s="91"/>
      <c r="I28" s="91"/>
      <c r="J28" s="92"/>
    </row>
    <row r="29" spans="1:10" ht="25" x14ac:dyDescent="0.35">
      <c r="A29" s="78"/>
      <c r="B29" s="79" t="s">
        <v>11</v>
      </c>
      <c r="C29" s="78" t="s">
        <v>87</v>
      </c>
      <c r="D29" s="79" t="s">
        <v>88</v>
      </c>
      <c r="E29" s="79" t="s">
        <v>14</v>
      </c>
      <c r="F29" s="90" t="s">
        <v>84</v>
      </c>
      <c r="G29" s="91"/>
      <c r="H29" s="91"/>
      <c r="I29" s="91"/>
      <c r="J29" s="92"/>
    </row>
    <row r="30" spans="1:10" x14ac:dyDescent="0.35">
      <c r="A30" s="78"/>
      <c r="B30" s="79" t="s">
        <v>11</v>
      </c>
      <c r="C30" s="78" t="s">
        <v>89</v>
      </c>
      <c r="D30" s="79" t="s">
        <v>90</v>
      </c>
      <c r="E30" s="79" t="s">
        <v>14</v>
      </c>
      <c r="F30" s="90" t="s">
        <v>84</v>
      </c>
      <c r="G30" s="91"/>
      <c r="H30" s="91"/>
      <c r="I30" s="91"/>
      <c r="J30" s="92"/>
    </row>
    <row r="31" spans="1:10" x14ac:dyDescent="0.35">
      <c r="A31" s="78"/>
      <c r="B31" s="79" t="s">
        <v>11</v>
      </c>
      <c r="C31" s="78" t="s">
        <v>91</v>
      </c>
      <c r="D31" s="79" t="s">
        <v>92</v>
      </c>
      <c r="E31" s="79" t="s">
        <v>14</v>
      </c>
      <c r="F31" s="90" t="s">
        <v>93</v>
      </c>
      <c r="G31" s="91"/>
      <c r="H31" s="91"/>
      <c r="I31" s="91"/>
      <c r="J31" s="92"/>
    </row>
    <row r="32" spans="1:10" x14ac:dyDescent="0.35">
      <c r="A32" s="78"/>
      <c r="B32" s="79" t="s">
        <v>11</v>
      </c>
      <c r="C32" s="78" t="s">
        <v>94</v>
      </c>
      <c r="D32" s="79" t="s">
        <v>95</v>
      </c>
      <c r="E32" s="79" t="s">
        <v>14</v>
      </c>
      <c r="F32" s="90" t="s">
        <v>84</v>
      </c>
      <c r="G32" s="91"/>
      <c r="H32" s="91"/>
      <c r="I32" s="91"/>
      <c r="J32" s="92"/>
    </row>
    <row r="33" spans="1:10" ht="25" x14ac:dyDescent="0.35">
      <c r="A33" s="78"/>
      <c r="B33" s="79" t="s">
        <v>11</v>
      </c>
      <c r="C33" s="78" t="s">
        <v>96</v>
      </c>
      <c r="D33" s="79" t="s">
        <v>97</v>
      </c>
      <c r="E33" s="79" t="s">
        <v>14</v>
      </c>
      <c r="F33" s="90" t="s">
        <v>84</v>
      </c>
      <c r="G33" s="91"/>
      <c r="H33" s="91"/>
      <c r="I33" s="91"/>
      <c r="J33" s="92"/>
    </row>
    <row r="34" spans="1:10" s="84" customFormat="1" x14ac:dyDescent="0.35">
      <c r="A34" s="78" t="s">
        <v>10</v>
      </c>
      <c r="B34" s="79" t="s">
        <v>11</v>
      </c>
      <c r="C34" s="78" t="s">
        <v>98</v>
      </c>
      <c r="D34" s="79" t="s">
        <v>99</v>
      </c>
      <c r="E34" s="79" t="s">
        <v>14</v>
      </c>
      <c r="F34" s="79" t="s">
        <v>81</v>
      </c>
      <c r="G34" s="95"/>
      <c r="H34" s="95"/>
      <c r="I34" s="95"/>
      <c r="J34" s="154"/>
    </row>
    <row r="35" spans="1:10" s="84" customFormat="1" x14ac:dyDescent="0.35">
      <c r="A35" s="78" t="s">
        <v>10</v>
      </c>
      <c r="B35" s="79" t="s">
        <v>11</v>
      </c>
      <c r="C35" s="78" t="s">
        <v>100</v>
      </c>
      <c r="D35" s="79" t="s">
        <v>101</v>
      </c>
      <c r="E35" s="79" t="s">
        <v>14</v>
      </c>
      <c r="F35" s="79" t="s">
        <v>102</v>
      </c>
      <c r="G35" s="95"/>
      <c r="H35" s="95"/>
      <c r="I35" s="95"/>
      <c r="J35" s="154"/>
    </row>
    <row r="36" spans="1:10" s="84" customFormat="1" x14ac:dyDescent="0.35">
      <c r="A36" s="78" t="s">
        <v>10</v>
      </c>
      <c r="B36" s="79" t="s">
        <v>11</v>
      </c>
      <c r="C36" s="78" t="s">
        <v>103</v>
      </c>
      <c r="D36" s="79" t="s">
        <v>104</v>
      </c>
      <c r="E36" s="79" t="s">
        <v>14</v>
      </c>
      <c r="F36" s="79" t="s">
        <v>81</v>
      </c>
      <c r="G36" s="95"/>
      <c r="H36" s="95"/>
      <c r="I36" s="95"/>
      <c r="J36" s="154"/>
    </row>
    <row r="37" spans="1:10" s="84" customFormat="1" x14ac:dyDescent="0.35">
      <c r="A37" s="78" t="s">
        <v>10</v>
      </c>
      <c r="B37" s="79" t="s">
        <v>11</v>
      </c>
      <c r="C37" s="78" t="s">
        <v>105</v>
      </c>
      <c r="D37" s="79" t="s">
        <v>106</v>
      </c>
      <c r="E37" s="79" t="s">
        <v>14</v>
      </c>
      <c r="F37" s="79" t="s">
        <v>81</v>
      </c>
      <c r="G37" s="95"/>
      <c r="H37" s="95"/>
      <c r="I37" s="95"/>
      <c r="J37" s="154"/>
    </row>
    <row r="38" spans="1:10" s="84" customFormat="1" x14ac:dyDescent="0.35">
      <c r="A38" s="78" t="s">
        <v>10</v>
      </c>
      <c r="B38" s="79" t="s">
        <v>11</v>
      </c>
      <c r="C38" s="78" t="s">
        <v>107</v>
      </c>
      <c r="D38" s="79" t="s">
        <v>108</v>
      </c>
      <c r="E38" s="79" t="s">
        <v>14</v>
      </c>
      <c r="F38" s="79" t="s">
        <v>81</v>
      </c>
      <c r="G38" s="95"/>
      <c r="H38" s="95"/>
      <c r="I38" s="95"/>
      <c r="J38" s="154"/>
    </row>
    <row r="39" spans="1:10" s="84" customFormat="1" ht="25" x14ac:dyDescent="0.35">
      <c r="A39" s="78" t="s">
        <v>10</v>
      </c>
      <c r="B39" s="79" t="s">
        <v>11</v>
      </c>
      <c r="C39" s="78" t="s">
        <v>109</v>
      </c>
      <c r="D39" s="79" t="s">
        <v>110</v>
      </c>
      <c r="E39" s="79" t="s">
        <v>14</v>
      </c>
      <c r="F39" s="79" t="s">
        <v>15</v>
      </c>
      <c r="G39" s="95"/>
      <c r="H39" s="95"/>
      <c r="I39" s="95"/>
      <c r="J39" s="154"/>
    </row>
    <row r="40" spans="1:10" s="84" customFormat="1" ht="25" x14ac:dyDescent="0.35">
      <c r="A40" s="78" t="s">
        <v>10</v>
      </c>
      <c r="B40" s="79" t="s">
        <v>11</v>
      </c>
      <c r="C40" s="78" t="s">
        <v>111</v>
      </c>
      <c r="D40" s="79" t="s">
        <v>112</v>
      </c>
      <c r="E40" s="79" t="s">
        <v>14</v>
      </c>
      <c r="F40" s="79" t="s">
        <v>113</v>
      </c>
      <c r="G40" s="95"/>
      <c r="H40" s="95"/>
      <c r="I40" s="95"/>
      <c r="J40" s="154"/>
    </row>
    <row r="41" spans="1:10" s="84" customFormat="1" x14ac:dyDescent="0.35">
      <c r="A41" s="78" t="s">
        <v>10</v>
      </c>
      <c r="B41" s="79" t="s">
        <v>11</v>
      </c>
      <c r="C41" s="78" t="s">
        <v>114</v>
      </c>
      <c r="D41" s="79" t="s">
        <v>115</v>
      </c>
      <c r="E41" s="79" t="s">
        <v>14</v>
      </c>
      <c r="F41" s="79" t="s">
        <v>113</v>
      </c>
      <c r="G41" s="95"/>
      <c r="H41" s="95"/>
      <c r="I41" s="95"/>
      <c r="J41" s="154"/>
    </row>
    <row r="42" spans="1:10" ht="37.5" x14ac:dyDescent="0.35">
      <c r="A42" s="78" t="s">
        <v>10</v>
      </c>
      <c r="B42" s="79" t="s">
        <v>11</v>
      </c>
      <c r="C42" s="78" t="s">
        <v>116</v>
      </c>
      <c r="D42" s="79" t="s">
        <v>117</v>
      </c>
      <c r="E42" s="79" t="s">
        <v>14</v>
      </c>
      <c r="F42" s="90" t="s">
        <v>54</v>
      </c>
      <c r="G42" s="91"/>
      <c r="H42" s="91"/>
      <c r="I42" s="91"/>
      <c r="J42" s="92" t="s">
        <v>118</v>
      </c>
    </row>
    <row r="43" spans="1:10" x14ac:dyDescent="0.35">
      <c r="A43" s="78" t="s">
        <v>10</v>
      </c>
      <c r="B43" s="79" t="s">
        <v>11</v>
      </c>
      <c r="C43" s="78" t="s">
        <v>119</v>
      </c>
      <c r="D43" s="79" t="s">
        <v>120</v>
      </c>
      <c r="E43" s="79" t="s">
        <v>14</v>
      </c>
      <c r="F43" s="90" t="s">
        <v>15</v>
      </c>
      <c r="G43" s="91"/>
      <c r="H43" s="91"/>
      <c r="I43" s="91"/>
      <c r="J43" s="92"/>
    </row>
    <row r="44" spans="1:10" x14ac:dyDescent="0.35">
      <c r="A44" s="78" t="s">
        <v>10</v>
      </c>
      <c r="B44" s="79" t="s">
        <v>11</v>
      </c>
      <c r="C44" s="78" t="s">
        <v>121</v>
      </c>
      <c r="D44" s="79" t="s">
        <v>122</v>
      </c>
      <c r="E44" s="79" t="s">
        <v>14</v>
      </c>
      <c r="F44" s="90" t="s">
        <v>15</v>
      </c>
      <c r="G44" s="91"/>
      <c r="H44" s="91"/>
      <c r="I44" s="91"/>
      <c r="J44" s="92"/>
    </row>
    <row r="45" spans="1:10" x14ac:dyDescent="0.35">
      <c r="A45" s="78" t="s">
        <v>10</v>
      </c>
      <c r="B45" s="79" t="s">
        <v>11</v>
      </c>
      <c r="C45" s="78" t="s">
        <v>123</v>
      </c>
      <c r="D45" s="79" t="s">
        <v>124</v>
      </c>
      <c r="E45" s="79" t="s">
        <v>14</v>
      </c>
      <c r="F45" s="90" t="s">
        <v>15</v>
      </c>
      <c r="G45" s="91"/>
      <c r="H45" s="91"/>
      <c r="I45" s="91"/>
      <c r="J45" s="92"/>
    </row>
    <row r="46" spans="1:10" s="84" customFormat="1" x14ac:dyDescent="0.35">
      <c r="A46" s="78" t="s">
        <v>10</v>
      </c>
      <c r="B46" s="79" t="s">
        <v>11</v>
      </c>
      <c r="C46" s="78" t="s">
        <v>125</v>
      </c>
      <c r="D46" s="79" t="s">
        <v>126</v>
      </c>
      <c r="E46" s="79" t="s">
        <v>14</v>
      </c>
      <c r="F46" s="79" t="s">
        <v>15</v>
      </c>
      <c r="G46" s="95"/>
      <c r="H46" s="95"/>
      <c r="I46" s="95"/>
      <c r="J46" s="154" t="s">
        <v>127</v>
      </c>
    </row>
    <row r="47" spans="1:10" s="84" customFormat="1" ht="25" x14ac:dyDescent="0.35">
      <c r="A47" s="78" t="s">
        <v>10</v>
      </c>
      <c r="B47" s="79" t="s">
        <v>11</v>
      </c>
      <c r="C47" s="78" t="s">
        <v>128</v>
      </c>
      <c r="D47" s="79" t="s">
        <v>129</v>
      </c>
      <c r="E47" s="79" t="s">
        <v>14</v>
      </c>
      <c r="F47" s="79" t="s">
        <v>54</v>
      </c>
      <c r="G47" s="95"/>
      <c r="H47" s="95"/>
      <c r="I47" s="95"/>
      <c r="J47" s="165" t="s">
        <v>130</v>
      </c>
    </row>
    <row r="48" spans="1:10" ht="25" x14ac:dyDescent="0.35">
      <c r="A48" s="78" t="s">
        <v>10</v>
      </c>
      <c r="B48" s="79" t="s">
        <v>11</v>
      </c>
      <c r="C48" s="78" t="s">
        <v>131</v>
      </c>
      <c r="D48" s="79" t="s">
        <v>132</v>
      </c>
      <c r="E48" s="79" t="s">
        <v>14</v>
      </c>
      <c r="F48" s="79" t="s">
        <v>15</v>
      </c>
      <c r="G48" s="95"/>
      <c r="H48" s="95"/>
      <c r="I48" s="95"/>
      <c r="J48" s="154" t="s">
        <v>133</v>
      </c>
    </row>
    <row r="49" spans="1:10" s="84" customFormat="1" x14ac:dyDescent="0.35">
      <c r="A49" s="78" t="s">
        <v>10</v>
      </c>
      <c r="B49" s="79" t="s">
        <v>11</v>
      </c>
      <c r="C49" s="78" t="s">
        <v>134</v>
      </c>
      <c r="D49" s="79" t="s">
        <v>54</v>
      </c>
      <c r="E49" s="79" t="s">
        <v>14</v>
      </c>
      <c r="F49" s="79" t="s">
        <v>54</v>
      </c>
      <c r="G49" s="95"/>
      <c r="H49" s="95"/>
      <c r="I49" s="95"/>
      <c r="J49" s="154"/>
    </row>
    <row r="50" spans="1:10" s="84" customFormat="1" x14ac:dyDescent="0.35">
      <c r="A50" s="78" t="s">
        <v>10</v>
      </c>
      <c r="B50" s="79" t="s">
        <v>11</v>
      </c>
      <c r="C50" s="78" t="s">
        <v>135</v>
      </c>
      <c r="D50" s="79" t="s">
        <v>136</v>
      </c>
      <c r="E50" s="79" t="s">
        <v>14</v>
      </c>
      <c r="F50" s="79" t="s">
        <v>137</v>
      </c>
      <c r="G50" s="95"/>
      <c r="H50" s="95"/>
      <c r="I50" s="95"/>
      <c r="J50" s="154"/>
    </row>
    <row r="51" spans="1:10" s="84" customFormat="1" ht="25" x14ac:dyDescent="0.35">
      <c r="A51" s="78" t="s">
        <v>138</v>
      </c>
      <c r="B51" s="79" t="s">
        <v>139</v>
      </c>
      <c r="C51" s="78" t="s">
        <v>140</v>
      </c>
      <c r="D51" s="79"/>
      <c r="E51" s="80" t="s">
        <v>14</v>
      </c>
      <c r="F51" s="79" t="s">
        <v>141</v>
      </c>
      <c r="G51" s="95">
        <v>1</v>
      </c>
      <c r="H51" s="95" t="s">
        <v>142</v>
      </c>
      <c r="I51" s="95"/>
      <c r="J51" s="154"/>
    </row>
    <row r="52" spans="1:10" s="84" customFormat="1" ht="25" x14ac:dyDescent="0.25">
      <c r="A52" s="78" t="s">
        <v>138</v>
      </c>
      <c r="B52" s="79" t="s">
        <v>139</v>
      </c>
      <c r="C52" s="78" t="s">
        <v>143</v>
      </c>
      <c r="D52" s="79" t="s">
        <v>144</v>
      </c>
      <c r="E52" s="80" t="s">
        <v>145</v>
      </c>
      <c r="F52" s="79" t="s">
        <v>141</v>
      </c>
      <c r="G52" s="95"/>
      <c r="H52" s="95"/>
      <c r="I52" s="149" t="s">
        <v>146</v>
      </c>
      <c r="J52" s="154" t="s">
        <v>45</v>
      </c>
    </row>
    <row r="53" spans="1:10" s="84" customFormat="1" ht="37.5" x14ac:dyDescent="0.25">
      <c r="A53" s="78" t="s">
        <v>138</v>
      </c>
      <c r="B53" s="79" t="s">
        <v>139</v>
      </c>
      <c r="C53" s="78" t="s">
        <v>147</v>
      </c>
      <c r="D53" s="79" t="s">
        <v>148</v>
      </c>
      <c r="E53" s="80" t="s">
        <v>14</v>
      </c>
      <c r="F53" s="79" t="s">
        <v>149</v>
      </c>
      <c r="G53" s="95"/>
      <c r="H53" s="95"/>
      <c r="I53" s="149" t="s">
        <v>146</v>
      </c>
      <c r="J53" s="154"/>
    </row>
    <row r="54" spans="1:10" s="84" customFormat="1" ht="25" x14ac:dyDescent="0.25">
      <c r="A54" s="78" t="s">
        <v>138</v>
      </c>
      <c r="B54" s="79" t="s">
        <v>139</v>
      </c>
      <c r="C54" s="78" t="s">
        <v>150</v>
      </c>
      <c r="D54" s="79" t="s">
        <v>151</v>
      </c>
      <c r="E54" s="80" t="s">
        <v>14</v>
      </c>
      <c r="F54" s="79" t="s">
        <v>152</v>
      </c>
      <c r="G54" s="95"/>
      <c r="H54" s="95"/>
      <c r="I54" s="150" t="s">
        <v>146</v>
      </c>
      <c r="J54" s="154"/>
    </row>
    <row r="55" spans="1:10" s="84" customFormat="1" ht="25" x14ac:dyDescent="0.35">
      <c r="A55" s="78" t="s">
        <v>138</v>
      </c>
      <c r="B55" s="79" t="s">
        <v>153</v>
      </c>
      <c r="C55" s="78" t="s">
        <v>154</v>
      </c>
      <c r="D55" s="79"/>
      <c r="E55" s="80" t="s">
        <v>14</v>
      </c>
      <c r="F55" s="79" t="s">
        <v>155</v>
      </c>
      <c r="G55" s="95">
        <v>1</v>
      </c>
      <c r="H55" s="95" t="s">
        <v>142</v>
      </c>
      <c r="I55" s="95"/>
      <c r="J55" s="154"/>
    </row>
    <row r="56" spans="1:10" s="84" customFormat="1" ht="25" x14ac:dyDescent="0.35">
      <c r="A56" s="78" t="s">
        <v>138</v>
      </c>
      <c r="B56" s="79" t="s">
        <v>153</v>
      </c>
      <c r="C56" s="78" t="s">
        <v>156</v>
      </c>
      <c r="D56" s="79" t="s">
        <v>157</v>
      </c>
      <c r="E56" s="80" t="s">
        <v>14</v>
      </c>
      <c r="F56" s="79" t="s">
        <v>155</v>
      </c>
      <c r="G56" s="95"/>
      <c r="H56" s="95"/>
      <c r="I56" s="95">
        <v>8</v>
      </c>
      <c r="J56" s="154" t="s">
        <v>45</v>
      </c>
    </row>
    <row r="57" spans="1:10" s="84" customFormat="1" ht="25" x14ac:dyDescent="0.35">
      <c r="A57" s="78" t="s">
        <v>138</v>
      </c>
      <c r="B57" s="79" t="s">
        <v>158</v>
      </c>
      <c r="C57" s="78" t="s">
        <v>154</v>
      </c>
      <c r="D57" s="79"/>
      <c r="E57" s="80" t="s">
        <v>14</v>
      </c>
      <c r="F57" s="79" t="s">
        <v>155</v>
      </c>
      <c r="G57" s="95">
        <v>1</v>
      </c>
      <c r="H57" s="95"/>
      <c r="I57" s="95"/>
      <c r="J57" s="154"/>
    </row>
    <row r="58" spans="1:10" s="84" customFormat="1" ht="25" x14ac:dyDescent="0.35">
      <c r="A58" s="78" t="s">
        <v>138</v>
      </c>
      <c r="B58" s="79" t="s">
        <v>158</v>
      </c>
      <c r="C58" s="78" t="s">
        <v>159</v>
      </c>
      <c r="D58" s="79" t="s">
        <v>160</v>
      </c>
      <c r="E58" s="80" t="s">
        <v>14</v>
      </c>
      <c r="F58" s="79" t="s">
        <v>155</v>
      </c>
      <c r="G58" s="95"/>
      <c r="H58" s="95"/>
      <c r="I58" s="95">
        <v>8</v>
      </c>
      <c r="J58" s="154" t="s">
        <v>45</v>
      </c>
    </row>
    <row r="59" spans="1:10" s="84" customFormat="1" ht="25" x14ac:dyDescent="0.35">
      <c r="A59" s="78" t="s">
        <v>138</v>
      </c>
      <c r="B59" s="79" t="s">
        <v>161</v>
      </c>
      <c r="C59" s="78" t="s">
        <v>154</v>
      </c>
      <c r="D59" s="79"/>
      <c r="E59" s="80" t="s">
        <v>14</v>
      </c>
      <c r="F59" s="79" t="s">
        <v>71</v>
      </c>
      <c r="G59" s="95" t="s">
        <v>162</v>
      </c>
      <c r="H59" s="95">
        <v>10</v>
      </c>
      <c r="I59" s="95"/>
      <c r="J59" s="154"/>
    </row>
    <row r="60" spans="1:10" s="84" customFormat="1" ht="25" x14ac:dyDescent="0.35">
      <c r="A60" s="78" t="s">
        <v>138</v>
      </c>
      <c r="B60" s="79" t="s">
        <v>161</v>
      </c>
      <c r="C60" s="78" t="s">
        <v>163</v>
      </c>
      <c r="D60" s="79" t="s">
        <v>164</v>
      </c>
      <c r="E60" s="80" t="s">
        <v>14</v>
      </c>
      <c r="F60" s="79" t="s">
        <v>71</v>
      </c>
      <c r="G60" s="95"/>
      <c r="H60" s="95"/>
      <c r="I60" s="95">
        <v>8</v>
      </c>
      <c r="J60" s="154" t="s">
        <v>165</v>
      </c>
    </row>
    <row r="61" spans="1:10" s="84" customFormat="1" ht="62.5" x14ac:dyDescent="0.35">
      <c r="A61" s="78" t="s">
        <v>138</v>
      </c>
      <c r="B61" s="79" t="s">
        <v>161</v>
      </c>
      <c r="C61" s="78" t="s">
        <v>166</v>
      </c>
      <c r="D61" s="79" t="s">
        <v>167</v>
      </c>
      <c r="E61" s="80" t="s">
        <v>145</v>
      </c>
      <c r="F61" s="79" t="s">
        <v>71</v>
      </c>
      <c r="G61" s="95"/>
      <c r="H61" s="95"/>
      <c r="I61" s="95">
        <v>8</v>
      </c>
      <c r="J61" s="154" t="s">
        <v>168</v>
      </c>
    </row>
    <row r="62" spans="1:10" s="84" customFormat="1" ht="37.5" x14ac:dyDescent="0.35">
      <c r="A62" s="78"/>
      <c r="B62" s="79" t="s">
        <v>169</v>
      </c>
      <c r="C62" s="78" t="s">
        <v>170</v>
      </c>
      <c r="D62" s="79"/>
      <c r="E62" s="80"/>
      <c r="F62" s="79" t="s">
        <v>171</v>
      </c>
      <c r="G62" s="95" t="s">
        <v>172</v>
      </c>
      <c r="H62" s="95">
        <v>8</v>
      </c>
      <c r="I62" s="95"/>
      <c r="J62" s="154" t="s">
        <v>45</v>
      </c>
    </row>
    <row r="63" spans="1:10" s="84" customFormat="1" x14ac:dyDescent="0.35">
      <c r="A63" s="78"/>
      <c r="B63" s="155" t="s">
        <v>169</v>
      </c>
      <c r="C63" s="156"/>
      <c r="D63" s="157" t="s">
        <v>173</v>
      </c>
      <c r="E63" s="155" t="s">
        <v>14</v>
      </c>
      <c r="F63" s="79" t="s">
        <v>171</v>
      </c>
      <c r="G63" s="95"/>
      <c r="H63" s="95"/>
      <c r="I63" s="95"/>
      <c r="J63" s="154"/>
    </row>
    <row r="64" spans="1:10" s="84" customFormat="1" ht="37.5" x14ac:dyDescent="0.35">
      <c r="A64" s="78"/>
      <c r="B64" s="155" t="s">
        <v>174</v>
      </c>
      <c r="C64" s="78" t="s">
        <v>170</v>
      </c>
      <c r="D64" s="157"/>
      <c r="E64" s="155"/>
      <c r="F64" s="79" t="s">
        <v>175</v>
      </c>
      <c r="G64" s="95" t="s">
        <v>176</v>
      </c>
      <c r="H64" s="95" t="s">
        <v>177</v>
      </c>
      <c r="I64" s="95"/>
      <c r="J64" s="154"/>
    </row>
    <row r="65" spans="1:10" s="84" customFormat="1" ht="25" x14ac:dyDescent="0.35">
      <c r="A65" s="78"/>
      <c r="B65" s="155" t="s">
        <v>174</v>
      </c>
      <c r="C65" s="156" t="s">
        <v>178</v>
      </c>
      <c r="D65" s="157" t="s">
        <v>179</v>
      </c>
      <c r="E65" s="155" t="s">
        <v>14</v>
      </c>
      <c r="F65" s="79" t="s">
        <v>175</v>
      </c>
      <c r="G65" s="95"/>
      <c r="H65" s="95"/>
      <c r="I65" s="95" t="s">
        <v>180</v>
      </c>
      <c r="J65" s="154" t="s">
        <v>181</v>
      </c>
    </row>
    <row r="66" spans="1:10" s="84" customFormat="1" ht="25" x14ac:dyDescent="0.35">
      <c r="A66" s="78"/>
      <c r="B66" s="155" t="s">
        <v>174</v>
      </c>
      <c r="C66" s="156" t="s">
        <v>182</v>
      </c>
      <c r="D66" s="157" t="s">
        <v>183</v>
      </c>
      <c r="E66" s="155" t="s">
        <v>14</v>
      </c>
      <c r="F66" s="79" t="s">
        <v>175</v>
      </c>
      <c r="G66" s="95"/>
      <c r="H66" s="95"/>
      <c r="I66" s="95" t="s">
        <v>180</v>
      </c>
      <c r="J66" s="154" t="s">
        <v>184</v>
      </c>
    </row>
    <row r="67" spans="1:10" s="84" customFormat="1" ht="37.5" x14ac:dyDescent="0.35">
      <c r="A67" s="78" t="s">
        <v>138</v>
      </c>
      <c r="B67" s="155" t="s">
        <v>185</v>
      </c>
      <c r="C67" s="78" t="s">
        <v>170</v>
      </c>
      <c r="D67" s="79"/>
      <c r="E67" s="80"/>
      <c r="F67" s="79" t="s">
        <v>186</v>
      </c>
      <c r="G67" s="95" t="s">
        <v>176</v>
      </c>
      <c r="H67" s="95" t="s">
        <v>177</v>
      </c>
      <c r="I67" s="95"/>
      <c r="J67" s="154"/>
    </row>
    <row r="68" spans="1:10" s="84" customFormat="1" ht="25" x14ac:dyDescent="0.35">
      <c r="A68" s="78" t="s">
        <v>138</v>
      </c>
      <c r="B68" s="155" t="s">
        <v>185</v>
      </c>
      <c r="C68" s="156" t="s">
        <v>187</v>
      </c>
      <c r="D68" s="157" t="s">
        <v>188</v>
      </c>
      <c r="E68" s="155" t="s">
        <v>14</v>
      </c>
      <c r="F68" s="79" t="s">
        <v>186</v>
      </c>
      <c r="G68" s="95"/>
      <c r="H68" s="95"/>
      <c r="I68" s="95">
        <v>6</v>
      </c>
      <c r="J68" s="154" t="s">
        <v>189</v>
      </c>
    </row>
    <row r="69" spans="1:10" s="84" customFormat="1" ht="25" x14ac:dyDescent="0.35">
      <c r="A69" s="78" t="s">
        <v>138</v>
      </c>
      <c r="B69" s="155" t="s">
        <v>185</v>
      </c>
      <c r="C69" s="156" t="s">
        <v>190</v>
      </c>
      <c r="D69" s="157" t="s">
        <v>191</v>
      </c>
      <c r="E69" s="155" t="s">
        <v>14</v>
      </c>
      <c r="F69" s="79" t="s">
        <v>186</v>
      </c>
      <c r="G69" s="95"/>
      <c r="H69" s="95"/>
      <c r="I69" s="95">
        <v>6</v>
      </c>
      <c r="J69" s="154" t="s">
        <v>192</v>
      </c>
    </row>
    <row r="70" spans="1:10" s="84" customFormat="1" ht="23.25" customHeight="1" x14ac:dyDescent="0.35">
      <c r="A70" s="78" t="s">
        <v>138</v>
      </c>
      <c r="B70" s="155" t="s">
        <v>185</v>
      </c>
      <c r="C70" s="156" t="s">
        <v>193</v>
      </c>
      <c r="D70" s="157" t="s">
        <v>194</v>
      </c>
      <c r="E70" s="155" t="s">
        <v>14</v>
      </c>
      <c r="F70" s="79" t="s">
        <v>186</v>
      </c>
      <c r="G70" s="95"/>
      <c r="H70" s="95"/>
      <c r="I70" s="95">
        <v>6</v>
      </c>
      <c r="J70" s="154" t="s">
        <v>192</v>
      </c>
    </row>
    <row r="71" spans="1:10" s="84" customFormat="1" ht="37.5" x14ac:dyDescent="0.35">
      <c r="A71" s="78"/>
      <c r="B71" s="155" t="s">
        <v>195</v>
      </c>
      <c r="C71" s="78" t="s">
        <v>170</v>
      </c>
      <c r="D71" s="157"/>
      <c r="E71" s="155"/>
      <c r="F71" s="79" t="s">
        <v>196</v>
      </c>
      <c r="G71" s="95" t="s">
        <v>197</v>
      </c>
      <c r="H71" s="95">
        <v>8</v>
      </c>
      <c r="I71" s="95"/>
      <c r="J71" s="154"/>
    </row>
    <row r="72" spans="1:10" ht="50" x14ac:dyDescent="0.35">
      <c r="A72" s="78"/>
      <c r="B72" s="83" t="s">
        <v>195</v>
      </c>
      <c r="C72" s="82" t="s">
        <v>198</v>
      </c>
      <c r="D72" s="83" t="s">
        <v>199</v>
      </c>
      <c r="E72" s="83" t="s">
        <v>14</v>
      </c>
      <c r="F72" s="147" t="s">
        <v>196</v>
      </c>
      <c r="G72" s="91"/>
      <c r="H72" s="91"/>
      <c r="I72" s="91">
        <v>15</v>
      </c>
      <c r="J72" s="92"/>
    </row>
    <row r="73" spans="1:10" s="84" customFormat="1" x14ac:dyDescent="0.35">
      <c r="A73" s="78"/>
      <c r="B73" s="155" t="s">
        <v>195</v>
      </c>
      <c r="C73" s="156" t="s">
        <v>200</v>
      </c>
      <c r="D73" s="157" t="s">
        <v>201</v>
      </c>
      <c r="E73" s="155" t="s">
        <v>145</v>
      </c>
      <c r="F73" s="79" t="s">
        <v>196</v>
      </c>
      <c r="G73" s="95"/>
      <c r="H73" s="95"/>
      <c r="I73" s="95">
        <v>15</v>
      </c>
      <c r="J73" s="154"/>
    </row>
    <row r="74" spans="1:10" s="84" customFormat="1" ht="25" x14ac:dyDescent="0.35">
      <c r="A74" s="78"/>
      <c r="B74" s="155" t="s">
        <v>195</v>
      </c>
      <c r="C74" s="156" t="s">
        <v>202</v>
      </c>
      <c r="D74" s="157" t="s">
        <v>203</v>
      </c>
      <c r="E74" s="155" t="s">
        <v>14</v>
      </c>
      <c r="F74" s="79" t="s">
        <v>196</v>
      </c>
      <c r="G74" s="95"/>
      <c r="H74" s="95"/>
      <c r="I74" s="95">
        <v>15</v>
      </c>
      <c r="J74" s="154"/>
    </row>
    <row r="75" spans="1:10" ht="37.5" x14ac:dyDescent="0.35">
      <c r="A75" s="78"/>
      <c r="B75" s="81" t="s">
        <v>204</v>
      </c>
      <c r="C75" s="82" t="s">
        <v>170</v>
      </c>
      <c r="D75" s="83"/>
      <c r="E75" s="81"/>
      <c r="F75" s="79" t="s">
        <v>149</v>
      </c>
      <c r="G75" s="95" t="s">
        <v>142</v>
      </c>
      <c r="H75" s="95" t="s">
        <v>177</v>
      </c>
      <c r="I75" s="95"/>
      <c r="J75" s="154"/>
    </row>
    <row r="76" spans="1:10" ht="37.5" x14ac:dyDescent="0.35">
      <c r="A76" s="78"/>
      <c r="B76" s="81" t="s">
        <v>204</v>
      </c>
      <c r="C76" s="82" t="s">
        <v>205</v>
      </c>
      <c r="D76" s="83" t="s">
        <v>206</v>
      </c>
      <c r="E76" s="81" t="s">
        <v>14</v>
      </c>
      <c r="F76" s="79" t="s">
        <v>149</v>
      </c>
      <c r="G76" s="95"/>
      <c r="H76" s="95"/>
      <c r="I76" s="95" t="s">
        <v>180</v>
      </c>
      <c r="J76" s="154" t="s">
        <v>207</v>
      </c>
    </row>
    <row r="77" spans="1:10" ht="25" x14ac:dyDescent="0.35">
      <c r="A77" s="78"/>
      <c r="B77" s="81" t="s">
        <v>204</v>
      </c>
      <c r="C77" s="82" t="s">
        <v>208</v>
      </c>
      <c r="D77" s="83" t="s">
        <v>209</v>
      </c>
      <c r="E77" s="81" t="s">
        <v>14</v>
      </c>
      <c r="F77" s="79" t="s">
        <v>149</v>
      </c>
      <c r="G77" s="95"/>
      <c r="H77" s="95"/>
      <c r="I77" s="95" t="s">
        <v>180</v>
      </c>
      <c r="J77" s="154" t="s">
        <v>210</v>
      </c>
    </row>
    <row r="78" spans="1:10" ht="25" x14ac:dyDescent="0.35">
      <c r="A78" s="78"/>
      <c r="B78" s="81" t="s">
        <v>204</v>
      </c>
      <c r="C78" s="82" t="s">
        <v>208</v>
      </c>
      <c r="D78" s="83" t="s">
        <v>211</v>
      </c>
      <c r="E78" s="81" t="s">
        <v>14</v>
      </c>
      <c r="F78" s="79" t="s">
        <v>149</v>
      </c>
      <c r="G78" s="95"/>
      <c r="H78" s="95"/>
      <c r="I78" s="95" t="s">
        <v>180</v>
      </c>
      <c r="J78" s="154" t="s">
        <v>212</v>
      </c>
    </row>
    <row r="79" spans="1:10" ht="37.5" x14ac:dyDescent="0.35">
      <c r="A79" s="78"/>
      <c r="B79" s="81" t="s">
        <v>204</v>
      </c>
      <c r="C79" s="82" t="s">
        <v>213</v>
      </c>
      <c r="D79" s="83" t="s">
        <v>214</v>
      </c>
      <c r="E79" s="81" t="s">
        <v>145</v>
      </c>
      <c r="F79" s="79" t="s">
        <v>149</v>
      </c>
      <c r="G79" s="95"/>
      <c r="H79" s="95"/>
      <c r="I79" s="95" t="s">
        <v>180</v>
      </c>
      <c r="J79" s="154" t="s">
        <v>215</v>
      </c>
    </row>
    <row r="80" spans="1:10" ht="25" x14ac:dyDescent="0.35">
      <c r="A80" s="78"/>
      <c r="B80" s="81" t="s">
        <v>204</v>
      </c>
      <c r="C80" s="82" t="s">
        <v>216</v>
      </c>
      <c r="D80" s="83" t="s">
        <v>217</v>
      </c>
      <c r="E80" s="81" t="s">
        <v>14</v>
      </c>
      <c r="F80" s="79" t="s">
        <v>149</v>
      </c>
      <c r="G80" s="95"/>
      <c r="H80" s="95"/>
      <c r="I80" s="95" t="s">
        <v>180</v>
      </c>
      <c r="J80" s="154" t="s">
        <v>218</v>
      </c>
    </row>
    <row r="81" spans="1:10" x14ac:dyDescent="0.35">
      <c r="A81" s="78"/>
      <c r="B81" s="81" t="s">
        <v>204</v>
      </c>
      <c r="C81" s="82" t="s">
        <v>219</v>
      </c>
      <c r="D81" s="83" t="s">
        <v>220</v>
      </c>
      <c r="E81" s="81" t="s">
        <v>221</v>
      </c>
      <c r="F81" s="79" t="s">
        <v>149</v>
      </c>
      <c r="G81" s="153"/>
      <c r="H81" s="153"/>
      <c r="I81" s="153" t="s">
        <v>180</v>
      </c>
      <c r="J81" s="154"/>
    </row>
    <row r="82" spans="1:10" s="84" customFormat="1" ht="37.5" x14ac:dyDescent="0.35">
      <c r="A82" s="78"/>
      <c r="B82" s="155" t="s">
        <v>204</v>
      </c>
      <c r="C82" s="156" t="s">
        <v>222</v>
      </c>
      <c r="D82" s="157" t="s">
        <v>223</v>
      </c>
      <c r="E82" s="155" t="s">
        <v>145</v>
      </c>
      <c r="F82" s="79"/>
      <c r="G82" s="95"/>
      <c r="H82" s="95"/>
      <c r="I82" s="95"/>
      <c r="J82" s="154" t="s">
        <v>224</v>
      </c>
    </row>
    <row r="83" spans="1:10" ht="37.5" x14ac:dyDescent="0.35">
      <c r="A83" s="78"/>
      <c r="B83" s="81" t="s">
        <v>225</v>
      </c>
      <c r="C83" s="156" t="s">
        <v>170</v>
      </c>
      <c r="D83" s="157" t="s">
        <v>226</v>
      </c>
      <c r="E83" s="155" t="s">
        <v>14</v>
      </c>
      <c r="F83" s="79" t="s">
        <v>227</v>
      </c>
      <c r="G83" s="95" t="s">
        <v>228</v>
      </c>
      <c r="H83" s="95" t="s">
        <v>177</v>
      </c>
      <c r="I83" s="158"/>
      <c r="J83" s="154"/>
    </row>
    <row r="84" spans="1:10" s="84" customFormat="1" x14ac:dyDescent="0.35">
      <c r="A84" s="78"/>
      <c r="B84" s="157" t="s">
        <v>225</v>
      </c>
      <c r="C84" s="156" t="s">
        <v>229</v>
      </c>
      <c r="D84" s="157" t="s">
        <v>230</v>
      </c>
      <c r="E84" s="157" t="s">
        <v>221</v>
      </c>
      <c r="F84" s="79" t="s">
        <v>227</v>
      </c>
      <c r="G84" s="95"/>
      <c r="H84" s="95"/>
      <c r="I84" s="95" t="s">
        <v>231</v>
      </c>
      <c r="J84" s="154" t="s">
        <v>45</v>
      </c>
    </row>
    <row r="85" spans="1:10" x14ac:dyDescent="0.35">
      <c r="A85" s="78"/>
      <c r="B85" s="157" t="s">
        <v>225</v>
      </c>
      <c r="C85" s="156" t="s">
        <v>232</v>
      </c>
      <c r="D85" s="157" t="s">
        <v>233</v>
      </c>
      <c r="E85" s="157" t="s">
        <v>14</v>
      </c>
      <c r="F85" s="79" t="s">
        <v>234</v>
      </c>
      <c r="G85" s="95" t="s">
        <v>172</v>
      </c>
      <c r="H85" s="95" t="s">
        <v>177</v>
      </c>
      <c r="I85" s="95" t="s">
        <v>231</v>
      </c>
      <c r="J85" s="154"/>
    </row>
    <row r="86" spans="1:10" ht="37.5" x14ac:dyDescent="0.35">
      <c r="A86" s="78"/>
      <c r="B86" s="157" t="s">
        <v>235</v>
      </c>
      <c r="C86" s="156" t="s">
        <v>170</v>
      </c>
      <c r="D86" s="157"/>
      <c r="E86" s="157" t="s">
        <v>14</v>
      </c>
      <c r="F86" s="79"/>
      <c r="G86" s="95" t="s">
        <v>236</v>
      </c>
      <c r="H86" s="95" t="s">
        <v>177</v>
      </c>
      <c r="I86" s="95"/>
      <c r="J86" s="154"/>
    </row>
    <row r="87" spans="1:10" ht="25" x14ac:dyDescent="0.35">
      <c r="A87" s="78"/>
      <c r="B87" s="157" t="s">
        <v>235</v>
      </c>
      <c r="C87" s="156" t="s">
        <v>237</v>
      </c>
      <c r="D87" s="157" t="s">
        <v>238</v>
      </c>
      <c r="E87" s="157" t="s">
        <v>14</v>
      </c>
      <c r="F87" s="79" t="s">
        <v>234</v>
      </c>
      <c r="G87" s="95"/>
      <c r="H87" s="95"/>
      <c r="I87" s="95" t="s">
        <v>231</v>
      </c>
      <c r="J87" s="154" t="s">
        <v>239</v>
      </c>
    </row>
    <row r="88" spans="1:10" x14ac:dyDescent="0.35">
      <c r="A88" s="78"/>
      <c r="B88" s="79" t="s">
        <v>240</v>
      </c>
      <c r="C88" s="78" t="s">
        <v>154</v>
      </c>
      <c r="D88" s="79"/>
      <c r="E88" s="80" t="s">
        <v>14</v>
      </c>
      <c r="F88" s="79" t="s">
        <v>155</v>
      </c>
      <c r="G88" s="95" t="s">
        <v>241</v>
      </c>
      <c r="H88" s="95" t="s">
        <v>242</v>
      </c>
      <c r="I88" s="95"/>
      <c r="J88" s="154"/>
    </row>
    <row r="89" spans="1:10" ht="25" x14ac:dyDescent="0.35">
      <c r="A89" s="78"/>
      <c r="B89" s="79" t="s">
        <v>240</v>
      </c>
      <c r="C89" s="78" t="s">
        <v>243</v>
      </c>
      <c r="D89" s="79" t="s">
        <v>244</v>
      </c>
      <c r="E89" s="80" t="s">
        <v>145</v>
      </c>
      <c r="F89" s="90" t="s">
        <v>245</v>
      </c>
      <c r="G89" s="91"/>
      <c r="H89" s="91"/>
      <c r="I89" s="91">
        <v>8</v>
      </c>
      <c r="J89" s="92" t="s">
        <v>45</v>
      </c>
    </row>
    <row r="90" spans="1:10" s="84" customFormat="1" ht="25" x14ac:dyDescent="0.35">
      <c r="A90" s="78"/>
      <c r="B90" s="79" t="s">
        <v>246</v>
      </c>
      <c r="C90" s="78" t="s">
        <v>154</v>
      </c>
      <c r="D90" s="79"/>
      <c r="E90" s="80" t="s">
        <v>14</v>
      </c>
      <c r="F90" s="79" t="s">
        <v>247</v>
      </c>
      <c r="G90" s="95">
        <v>1</v>
      </c>
      <c r="H90" s="95" t="s">
        <v>248</v>
      </c>
      <c r="I90" s="95"/>
      <c r="J90" s="154"/>
    </row>
    <row r="91" spans="1:10" s="84" customFormat="1" ht="25" x14ac:dyDescent="0.35">
      <c r="A91" s="78"/>
      <c r="B91" s="79" t="s">
        <v>246</v>
      </c>
      <c r="C91" s="78" t="s">
        <v>249</v>
      </c>
      <c r="D91" s="79" t="s">
        <v>250</v>
      </c>
      <c r="E91" s="80" t="s">
        <v>14</v>
      </c>
      <c r="F91" s="79" t="s">
        <v>247</v>
      </c>
      <c r="G91" s="95"/>
      <c r="H91" s="95"/>
      <c r="I91" s="95"/>
      <c r="J91" s="154"/>
    </row>
    <row r="92" spans="1:10" s="84" customFormat="1" ht="25" x14ac:dyDescent="0.35">
      <c r="A92" s="78"/>
      <c r="B92" s="79" t="s">
        <v>246</v>
      </c>
      <c r="C92" s="78" t="s">
        <v>251</v>
      </c>
      <c r="D92" s="79" t="s">
        <v>252</v>
      </c>
      <c r="E92" s="80" t="s">
        <v>14</v>
      </c>
      <c r="F92" s="79" t="s">
        <v>247</v>
      </c>
      <c r="G92" s="95"/>
      <c r="H92" s="95"/>
      <c r="I92" s="95"/>
      <c r="J92" s="154"/>
    </row>
    <row r="93" spans="1:10" ht="25" x14ac:dyDescent="0.35">
      <c r="A93" s="78" t="s">
        <v>138</v>
      </c>
      <c r="B93" s="79" t="s">
        <v>253</v>
      </c>
      <c r="C93" s="78" t="s">
        <v>154</v>
      </c>
      <c r="D93" s="79"/>
      <c r="E93" s="80" t="s">
        <v>14</v>
      </c>
      <c r="F93" s="79" t="s">
        <v>254</v>
      </c>
      <c r="G93" s="95" t="s">
        <v>255</v>
      </c>
      <c r="H93" s="95"/>
      <c r="I93" s="95"/>
      <c r="J93" s="154"/>
    </row>
    <row r="94" spans="1:10" ht="25" x14ac:dyDescent="0.35">
      <c r="A94" s="78" t="s">
        <v>138</v>
      </c>
      <c r="B94" s="79" t="s">
        <v>253</v>
      </c>
      <c r="C94" s="78" t="s">
        <v>256</v>
      </c>
      <c r="D94" s="79" t="s">
        <v>257</v>
      </c>
      <c r="E94" s="80" t="s">
        <v>14</v>
      </c>
      <c r="F94" s="79" t="s">
        <v>254</v>
      </c>
      <c r="G94" s="95"/>
      <c r="H94" s="95"/>
      <c r="I94" s="95" t="s">
        <v>258</v>
      </c>
      <c r="J94" s="166">
        <v>1</v>
      </c>
    </row>
    <row r="95" spans="1:10" ht="25" x14ac:dyDescent="0.35">
      <c r="A95" s="78" t="s">
        <v>138</v>
      </c>
      <c r="B95" s="79" t="s">
        <v>253</v>
      </c>
      <c r="C95" s="78" t="s">
        <v>259</v>
      </c>
      <c r="D95" s="79" t="s">
        <v>260</v>
      </c>
      <c r="E95" s="80" t="s">
        <v>145</v>
      </c>
      <c r="F95" s="79" t="s">
        <v>261</v>
      </c>
      <c r="G95" s="95"/>
      <c r="H95" s="95"/>
      <c r="I95" s="95" t="s">
        <v>258</v>
      </c>
      <c r="J95" s="154" t="s">
        <v>45</v>
      </c>
    </row>
    <row r="96" spans="1:10" ht="25" x14ac:dyDescent="0.35">
      <c r="A96" s="78" t="s">
        <v>138</v>
      </c>
      <c r="B96" s="79" t="s">
        <v>253</v>
      </c>
      <c r="C96" s="78" t="s">
        <v>262</v>
      </c>
      <c r="D96" s="79" t="s">
        <v>263</v>
      </c>
      <c r="E96" s="80" t="s">
        <v>145</v>
      </c>
      <c r="F96" s="79" t="s">
        <v>261</v>
      </c>
      <c r="G96" s="95"/>
      <c r="H96" s="95"/>
      <c r="I96" s="95" t="s">
        <v>258</v>
      </c>
      <c r="J96" s="154"/>
    </row>
    <row r="97" spans="1:10" x14ac:dyDescent="0.35">
      <c r="A97" s="78"/>
      <c r="B97" s="79" t="s">
        <v>264</v>
      </c>
      <c r="C97" s="78" t="s">
        <v>154</v>
      </c>
      <c r="D97" s="79"/>
      <c r="E97" s="80" t="s">
        <v>14</v>
      </c>
      <c r="F97" s="79" t="s">
        <v>265</v>
      </c>
      <c r="G97" s="95" t="s">
        <v>241</v>
      </c>
      <c r="H97" s="95" t="s">
        <v>266</v>
      </c>
      <c r="I97" s="95"/>
      <c r="J97" s="154"/>
    </row>
    <row r="98" spans="1:10" ht="37.5" x14ac:dyDescent="0.35">
      <c r="A98" s="78"/>
      <c r="B98" s="79" t="s">
        <v>264</v>
      </c>
      <c r="C98" s="78" t="s">
        <v>267</v>
      </c>
      <c r="D98" s="79" t="s">
        <v>268</v>
      </c>
      <c r="E98" s="80" t="s">
        <v>14</v>
      </c>
      <c r="F98" s="79" t="s">
        <v>265</v>
      </c>
      <c r="G98" s="95"/>
      <c r="H98" s="95"/>
      <c r="I98" s="95" t="s">
        <v>269</v>
      </c>
      <c r="J98" s="154"/>
    </row>
    <row r="99" spans="1:10" ht="25" x14ac:dyDescent="0.35">
      <c r="A99" s="78"/>
      <c r="B99" s="79" t="s">
        <v>270</v>
      </c>
      <c r="C99" s="78" t="s">
        <v>154</v>
      </c>
      <c r="D99" s="79"/>
      <c r="E99" s="80"/>
      <c r="F99" s="79" t="s">
        <v>271</v>
      </c>
      <c r="G99" s="95">
        <v>3</v>
      </c>
      <c r="H99" s="95" t="s">
        <v>272</v>
      </c>
      <c r="I99" s="95"/>
      <c r="J99" s="154"/>
    </row>
    <row r="100" spans="1:10" ht="25" x14ac:dyDescent="0.35">
      <c r="A100" s="78"/>
      <c r="B100" s="79" t="s">
        <v>270</v>
      </c>
      <c r="C100" s="78" t="s">
        <v>273</v>
      </c>
      <c r="D100" s="79" t="s">
        <v>274</v>
      </c>
      <c r="E100" s="80" t="s">
        <v>145</v>
      </c>
      <c r="F100" s="79" t="s">
        <v>271</v>
      </c>
      <c r="G100" s="95"/>
      <c r="H100" s="95"/>
      <c r="I100" s="95"/>
      <c r="J100" s="154"/>
    </row>
    <row r="101" spans="1:10" s="84" customFormat="1" ht="25" x14ac:dyDescent="0.35">
      <c r="A101" s="78"/>
      <c r="B101" s="79" t="s">
        <v>275</v>
      </c>
      <c r="C101" s="78" t="s">
        <v>154</v>
      </c>
      <c r="D101" s="79"/>
      <c r="E101" s="80"/>
      <c r="F101" s="79" t="s">
        <v>276</v>
      </c>
      <c r="G101" s="95" t="s">
        <v>277</v>
      </c>
      <c r="H101" s="95" t="s">
        <v>278</v>
      </c>
      <c r="I101" s="95"/>
      <c r="J101" s="154"/>
    </row>
    <row r="102" spans="1:10" ht="50" x14ac:dyDescent="0.35">
      <c r="A102" s="78"/>
      <c r="B102" s="79" t="s">
        <v>275</v>
      </c>
      <c r="C102" s="78" t="s">
        <v>279</v>
      </c>
      <c r="D102" s="79" t="s">
        <v>280</v>
      </c>
      <c r="E102" s="80" t="s">
        <v>145</v>
      </c>
      <c r="F102" s="79" t="s">
        <v>276</v>
      </c>
      <c r="G102" s="95"/>
      <c r="H102" s="95"/>
      <c r="I102" s="95"/>
      <c r="J102" s="154" t="s">
        <v>281</v>
      </c>
    </row>
    <row r="103" spans="1:10" x14ac:dyDescent="0.35">
      <c r="A103" s="78"/>
      <c r="B103" s="79" t="s">
        <v>282</v>
      </c>
      <c r="C103" s="78" t="s">
        <v>154</v>
      </c>
      <c r="D103" s="79"/>
      <c r="E103" s="80"/>
      <c r="F103" s="79" t="s">
        <v>283</v>
      </c>
      <c r="G103" s="95" t="s">
        <v>277</v>
      </c>
      <c r="H103" s="95" t="s">
        <v>284</v>
      </c>
      <c r="I103" s="95"/>
      <c r="J103" s="154"/>
    </row>
    <row r="104" spans="1:10" ht="25" x14ac:dyDescent="0.35">
      <c r="A104" s="78"/>
      <c r="B104" s="79" t="s">
        <v>282</v>
      </c>
      <c r="C104" s="78" t="s">
        <v>285</v>
      </c>
      <c r="D104" s="79" t="s">
        <v>286</v>
      </c>
      <c r="E104" s="80" t="s">
        <v>14</v>
      </c>
      <c r="F104" s="79" t="s">
        <v>283</v>
      </c>
      <c r="G104" s="95"/>
      <c r="H104" s="95"/>
      <c r="I104" s="95"/>
      <c r="J104" s="154" t="s">
        <v>287</v>
      </c>
    </row>
    <row r="105" spans="1:10" ht="25" x14ac:dyDescent="0.35">
      <c r="A105" s="78"/>
      <c r="B105" s="79" t="s">
        <v>288</v>
      </c>
      <c r="C105" s="78" t="s">
        <v>154</v>
      </c>
      <c r="D105" s="79"/>
      <c r="E105" s="80"/>
      <c r="F105" s="79" t="s">
        <v>289</v>
      </c>
      <c r="G105" s="95" t="s">
        <v>290</v>
      </c>
      <c r="H105" s="95" t="s">
        <v>284</v>
      </c>
      <c r="I105" s="95"/>
      <c r="J105" s="154"/>
    </row>
    <row r="106" spans="1:10" ht="25" x14ac:dyDescent="0.35">
      <c r="A106" s="78"/>
      <c r="B106" s="79" t="s">
        <v>288</v>
      </c>
      <c r="C106" s="78" t="s">
        <v>291</v>
      </c>
      <c r="D106" s="79" t="s">
        <v>292</v>
      </c>
      <c r="E106" s="80" t="s">
        <v>14</v>
      </c>
      <c r="F106" s="79" t="s">
        <v>289</v>
      </c>
      <c r="G106" s="95"/>
      <c r="H106" s="95"/>
      <c r="I106" s="95"/>
      <c r="J106" s="154" t="s">
        <v>293</v>
      </c>
    </row>
    <row r="107" spans="1:10" ht="25" x14ac:dyDescent="0.35">
      <c r="A107" s="78"/>
      <c r="B107" s="79" t="s">
        <v>294</v>
      </c>
      <c r="C107" s="78" t="s">
        <v>154</v>
      </c>
      <c r="D107" s="79"/>
      <c r="E107" s="80"/>
      <c r="F107" s="79" t="s">
        <v>295</v>
      </c>
      <c r="G107" s="95" t="s">
        <v>284</v>
      </c>
      <c r="H107" s="95" t="s">
        <v>296</v>
      </c>
      <c r="I107" s="95"/>
      <c r="J107" s="154"/>
    </row>
    <row r="108" spans="1:10" s="84" customFormat="1" ht="37.5" x14ac:dyDescent="0.35">
      <c r="A108" s="78"/>
      <c r="B108" s="79" t="s">
        <v>294</v>
      </c>
      <c r="C108" s="78" t="s">
        <v>297</v>
      </c>
      <c r="D108" s="79" t="s">
        <v>298</v>
      </c>
      <c r="E108" s="80" t="s">
        <v>14</v>
      </c>
      <c r="F108" s="79" t="s">
        <v>299</v>
      </c>
      <c r="G108" s="95"/>
      <c r="H108" s="95"/>
      <c r="I108" s="95"/>
      <c r="J108" s="154"/>
    </row>
    <row r="109" spans="1:10" s="84" customFormat="1" ht="25" x14ac:dyDescent="0.35">
      <c r="A109" s="78"/>
      <c r="B109" s="79" t="s">
        <v>294</v>
      </c>
      <c r="C109" s="78" t="s">
        <v>300</v>
      </c>
      <c r="D109" s="79" t="s">
        <v>301</v>
      </c>
      <c r="E109" s="80" t="s">
        <v>14</v>
      </c>
      <c r="F109" s="79" t="s">
        <v>299</v>
      </c>
      <c r="G109" s="95"/>
      <c r="H109" s="95"/>
      <c r="I109" s="95" t="s">
        <v>269</v>
      </c>
      <c r="J109" s="154"/>
    </row>
    <row r="110" spans="1:10" ht="25" x14ac:dyDescent="0.35">
      <c r="A110" s="78" t="s">
        <v>138</v>
      </c>
      <c r="B110" s="79" t="s">
        <v>302</v>
      </c>
      <c r="C110" s="78" t="s">
        <v>154</v>
      </c>
      <c r="D110" s="79"/>
      <c r="E110" s="80"/>
      <c r="F110" s="79" t="s">
        <v>303</v>
      </c>
      <c r="G110" s="95" t="s">
        <v>304</v>
      </c>
      <c r="H110" s="95"/>
      <c r="I110" s="95"/>
      <c r="J110" s="154"/>
    </row>
    <row r="111" spans="1:10" ht="37.5" x14ac:dyDescent="0.35">
      <c r="A111" s="78" t="s">
        <v>138</v>
      </c>
      <c r="B111" s="79" t="s">
        <v>302</v>
      </c>
      <c r="C111" s="78" t="s">
        <v>305</v>
      </c>
      <c r="D111" s="79" t="s">
        <v>306</v>
      </c>
      <c r="E111" s="80" t="s">
        <v>145</v>
      </c>
      <c r="F111" s="79" t="s">
        <v>303</v>
      </c>
      <c r="G111" s="95"/>
      <c r="H111" s="95"/>
      <c r="I111" s="95" t="s">
        <v>307</v>
      </c>
      <c r="J111" s="154"/>
    </row>
    <row r="112" spans="1:10" ht="37.5" x14ac:dyDescent="0.35">
      <c r="A112" s="78" t="s">
        <v>138</v>
      </c>
      <c r="B112" s="79" t="s">
        <v>302</v>
      </c>
      <c r="C112" s="78" t="s">
        <v>308</v>
      </c>
      <c r="D112" s="79" t="s">
        <v>309</v>
      </c>
      <c r="E112" s="80" t="s">
        <v>14</v>
      </c>
      <c r="F112" s="79" t="s">
        <v>303</v>
      </c>
      <c r="G112" s="95"/>
      <c r="H112" s="95"/>
      <c r="I112" s="95"/>
      <c r="J112" s="154"/>
    </row>
    <row r="113" spans="1:10" ht="25" x14ac:dyDescent="0.35">
      <c r="A113" s="78"/>
      <c r="B113" s="79" t="s">
        <v>310</v>
      </c>
      <c r="C113" s="78" t="s">
        <v>154</v>
      </c>
      <c r="D113" s="79"/>
      <c r="E113" s="79" t="s">
        <v>14</v>
      </c>
      <c r="F113" s="79" t="s">
        <v>311</v>
      </c>
      <c r="G113" s="95" t="s">
        <v>284</v>
      </c>
      <c r="H113" s="95" t="s">
        <v>312</v>
      </c>
      <c r="I113" s="95"/>
      <c r="J113" s="154"/>
    </row>
    <row r="114" spans="1:10" ht="25" x14ac:dyDescent="0.35">
      <c r="A114" s="78"/>
      <c r="B114" s="79" t="s">
        <v>310</v>
      </c>
      <c r="C114" s="78" t="s">
        <v>313</v>
      </c>
      <c r="D114" s="79" t="s">
        <v>314</v>
      </c>
      <c r="E114" s="79" t="s">
        <v>14</v>
      </c>
      <c r="F114" s="79" t="s">
        <v>311</v>
      </c>
      <c r="G114" s="95"/>
      <c r="H114" s="95"/>
      <c r="I114" s="95">
        <v>8</v>
      </c>
      <c r="J114" s="166"/>
    </row>
    <row r="115" spans="1:10" ht="25" x14ac:dyDescent="0.35">
      <c r="A115" s="78" t="s">
        <v>138</v>
      </c>
      <c r="B115" s="79" t="s">
        <v>315</v>
      </c>
      <c r="C115" s="78" t="s">
        <v>154</v>
      </c>
      <c r="D115" s="79"/>
      <c r="E115" s="80" t="s">
        <v>14</v>
      </c>
      <c r="F115" s="79" t="s">
        <v>311</v>
      </c>
      <c r="G115" s="95">
        <v>10</v>
      </c>
      <c r="H115" s="95"/>
      <c r="I115" s="95"/>
      <c r="J115" s="166"/>
    </row>
    <row r="116" spans="1:10" ht="25" x14ac:dyDescent="0.35">
      <c r="A116" s="78" t="s">
        <v>138</v>
      </c>
      <c r="B116" s="79" t="s">
        <v>315</v>
      </c>
      <c r="C116" s="78" t="s">
        <v>316</v>
      </c>
      <c r="D116" s="79" t="s">
        <v>317</v>
      </c>
      <c r="E116" s="80" t="s">
        <v>14</v>
      </c>
      <c r="F116" s="79" t="s">
        <v>318</v>
      </c>
      <c r="G116" s="95">
        <v>1</v>
      </c>
      <c r="H116" s="95">
        <v>10</v>
      </c>
      <c r="I116" s="95"/>
      <c r="J116" s="154" t="s">
        <v>319</v>
      </c>
    </row>
    <row r="117" spans="1:10" ht="25" x14ac:dyDescent="0.35">
      <c r="A117" s="78"/>
      <c r="B117" s="79" t="s">
        <v>320</v>
      </c>
      <c r="C117" s="78" t="s">
        <v>154</v>
      </c>
      <c r="D117" s="79"/>
      <c r="E117" s="79" t="s">
        <v>14</v>
      </c>
      <c r="F117" s="79" t="s">
        <v>311</v>
      </c>
      <c r="G117" s="95">
        <v>9</v>
      </c>
      <c r="H117" s="95"/>
      <c r="I117" s="95"/>
      <c r="J117" s="154"/>
    </row>
    <row r="118" spans="1:10" ht="37.5" x14ac:dyDescent="0.35">
      <c r="A118" s="78"/>
      <c r="B118" s="79" t="s">
        <v>320</v>
      </c>
      <c r="C118" s="78" t="s">
        <v>321</v>
      </c>
      <c r="D118" s="79" t="s">
        <v>322</v>
      </c>
      <c r="E118" s="80" t="s">
        <v>14</v>
      </c>
      <c r="F118" s="90" t="s">
        <v>323</v>
      </c>
      <c r="G118" s="91"/>
      <c r="H118" s="91"/>
      <c r="I118" s="91"/>
      <c r="J118" s="92"/>
    </row>
    <row r="119" spans="1:10" ht="25" x14ac:dyDescent="0.35">
      <c r="A119" s="78"/>
      <c r="B119" s="79" t="s">
        <v>324</v>
      </c>
      <c r="C119" s="78" t="s">
        <v>154</v>
      </c>
      <c r="D119" s="79"/>
      <c r="E119" s="80"/>
      <c r="F119" s="79" t="s">
        <v>325</v>
      </c>
      <c r="G119" s="95"/>
      <c r="H119" s="95"/>
      <c r="I119" s="95"/>
      <c r="J119" s="154"/>
    </row>
    <row r="120" spans="1:10" ht="25" x14ac:dyDescent="0.35">
      <c r="A120" s="78"/>
      <c r="B120" s="79" t="s">
        <v>324</v>
      </c>
      <c r="C120" s="78" t="s">
        <v>326</v>
      </c>
      <c r="D120" s="79" t="s">
        <v>327</v>
      </c>
      <c r="E120" s="80" t="s">
        <v>14</v>
      </c>
      <c r="F120" s="79" t="s">
        <v>325</v>
      </c>
      <c r="G120" s="95"/>
      <c r="H120" s="95"/>
      <c r="I120" s="95"/>
      <c r="J120" s="154"/>
    </row>
    <row r="121" spans="1:10" ht="25" x14ac:dyDescent="0.35">
      <c r="A121" s="78"/>
      <c r="B121" s="79" t="s">
        <v>328</v>
      </c>
      <c r="C121" s="78" t="s">
        <v>154</v>
      </c>
      <c r="D121" s="79"/>
      <c r="E121" s="80"/>
      <c r="F121" s="79" t="s">
        <v>329</v>
      </c>
      <c r="G121" s="143"/>
      <c r="H121" s="143"/>
      <c r="I121" s="143"/>
      <c r="J121" s="92"/>
    </row>
    <row r="122" spans="1:10" ht="25" x14ac:dyDescent="0.35">
      <c r="A122" s="78"/>
      <c r="B122" s="79" t="s">
        <v>328</v>
      </c>
      <c r="C122" s="78" t="s">
        <v>330</v>
      </c>
      <c r="D122" s="79" t="s">
        <v>328</v>
      </c>
      <c r="E122" s="80" t="s">
        <v>14</v>
      </c>
      <c r="F122" s="79" t="s">
        <v>329</v>
      </c>
      <c r="G122" s="143"/>
      <c r="H122" s="143"/>
      <c r="I122" s="143"/>
      <c r="J122" s="92"/>
    </row>
    <row r="123" spans="1:10" ht="37.5" x14ac:dyDescent="0.35">
      <c r="A123" s="78"/>
      <c r="B123" s="81" t="s">
        <v>331</v>
      </c>
      <c r="C123" s="82" t="s">
        <v>170</v>
      </c>
      <c r="D123" s="83"/>
      <c r="E123" s="81"/>
      <c r="F123" s="79" t="s">
        <v>332</v>
      </c>
      <c r="G123" s="95"/>
      <c r="H123" s="95" t="s">
        <v>177</v>
      </c>
      <c r="I123" s="95"/>
      <c r="J123" s="154"/>
    </row>
    <row r="124" spans="1:10" x14ac:dyDescent="0.35">
      <c r="A124" s="78"/>
      <c r="B124" s="81" t="s">
        <v>331</v>
      </c>
      <c r="C124" s="82" t="s">
        <v>202</v>
      </c>
      <c r="D124" s="83" t="s">
        <v>333</v>
      </c>
      <c r="E124" s="81" t="s">
        <v>14</v>
      </c>
      <c r="F124" s="79" t="s">
        <v>332</v>
      </c>
      <c r="G124" s="95"/>
      <c r="H124" s="95"/>
      <c r="I124" s="95" t="s">
        <v>334</v>
      </c>
      <c r="J124" s="154"/>
    </row>
  </sheetData>
  <mergeCells count="8">
    <mergeCell ref="G8:G12"/>
    <mergeCell ref="H8:H12"/>
    <mergeCell ref="A8:A12"/>
    <mergeCell ref="B8:B12"/>
    <mergeCell ref="C8:C12"/>
    <mergeCell ref="D8:D12"/>
    <mergeCell ref="E8:E12"/>
    <mergeCell ref="F8:F12"/>
  </mergeCells>
  <hyperlinks>
    <hyperlink ref="J47" r:id="rId1" xr:uid="{9EAA9609-68C5-49BD-879B-F7CDEF97C2C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CFD86-8404-4039-A2EB-A67BA9899072}">
  <sheetPr>
    <tabColor rgb="FFFF0000"/>
  </sheetPr>
  <dimension ref="A1:AM53"/>
  <sheetViews>
    <sheetView showGridLines="0" zoomScale="80" zoomScaleNormal="80" workbookViewId="0">
      <pane xSplit="1" ySplit="3" topLeftCell="B4" activePane="bottomRight" state="frozen"/>
      <selection pane="topRight" activeCell="H1" sqref="H1:O1"/>
      <selection pane="bottomLeft" activeCell="H1" sqref="H1:O1"/>
      <selection pane="bottomRight" activeCell="B7" sqref="B7"/>
    </sheetView>
  </sheetViews>
  <sheetFormatPr defaultColWidth="9.1796875" defaultRowHeight="14.5" x14ac:dyDescent="0.35"/>
  <cols>
    <col min="1" max="1" width="45" customWidth="1"/>
    <col min="2" max="15" width="12.81640625" customWidth="1"/>
    <col min="16" max="16" width="9.1796875" hidden="1" customWidth="1"/>
    <col min="17" max="17" width="11.453125" hidden="1" customWidth="1"/>
    <col min="18" max="18" width="13.1796875" hidden="1" customWidth="1"/>
    <col min="19" max="19" width="10.54296875" hidden="1" customWidth="1"/>
    <col min="20" max="20" width="11.453125" hidden="1" customWidth="1"/>
    <col min="21" max="24" width="9.1796875" hidden="1" customWidth="1"/>
    <col min="25" max="25" width="10.54296875" hidden="1" customWidth="1"/>
    <col min="26" max="26" width="10.1796875" hidden="1" customWidth="1"/>
    <col min="27" max="27" width="9.1796875" hidden="1" customWidth="1"/>
    <col min="28" max="28" width="12.1796875" hidden="1" customWidth="1"/>
    <col min="29" max="29" width="16" style="6" hidden="1" customWidth="1"/>
    <col min="30" max="30" width="34.81640625" hidden="1" customWidth="1"/>
    <col min="31" max="31" width="10.1796875" hidden="1" customWidth="1"/>
    <col min="32" max="32" width="9.453125" hidden="1" customWidth="1"/>
    <col min="33" max="34" width="10.1796875" hidden="1" customWidth="1"/>
    <col min="35" max="35" width="10.453125" hidden="1" customWidth="1"/>
    <col min="36" max="39" width="9.1796875" hidden="1" customWidth="1"/>
    <col min="40" max="40" width="9.1796875" customWidth="1"/>
    <col min="41" max="41" width="9.453125" customWidth="1"/>
    <col min="42" max="50" width="9.1796875" customWidth="1"/>
  </cols>
  <sheetData>
    <row r="1" spans="1:39" x14ac:dyDescent="0.35">
      <c r="B1" s="1044" t="s">
        <v>597</v>
      </c>
      <c r="C1" s="1045"/>
      <c r="D1" s="1045"/>
      <c r="E1" s="1045"/>
      <c r="F1" s="1045"/>
      <c r="G1" s="1046"/>
      <c r="H1" s="1044" t="s">
        <v>598</v>
      </c>
      <c r="I1" s="1045"/>
      <c r="J1" s="1045"/>
      <c r="K1" s="1045"/>
      <c r="L1" s="1045"/>
      <c r="M1" s="1045"/>
      <c r="N1" s="1045"/>
      <c r="O1" s="1046"/>
    </row>
    <row r="2" spans="1:39" x14ac:dyDescent="0.35">
      <c r="B2" s="1047" t="s">
        <v>599</v>
      </c>
      <c r="C2" s="1047"/>
      <c r="D2" s="1048"/>
      <c r="E2" s="1049" t="s">
        <v>600</v>
      </c>
      <c r="F2" s="1047"/>
      <c r="G2" s="1047"/>
      <c r="H2" s="1047" t="s">
        <v>599</v>
      </c>
      <c r="I2" s="1047"/>
      <c r="J2" s="1047"/>
      <c r="K2" s="1048"/>
      <c r="L2" s="1049" t="s">
        <v>601</v>
      </c>
      <c r="M2" s="1047"/>
      <c r="N2" s="1047"/>
      <c r="O2" s="1047"/>
    </row>
    <row r="3" spans="1:39" s="1" customFormat="1" ht="30.75" customHeight="1" x14ac:dyDescent="0.35">
      <c r="B3" s="331" t="s">
        <v>602</v>
      </c>
      <c r="C3" s="332" t="s">
        <v>603</v>
      </c>
      <c r="D3" s="332" t="s">
        <v>604</v>
      </c>
      <c r="E3" s="332" t="s">
        <v>605</v>
      </c>
      <c r="F3" s="332" t="s">
        <v>606</v>
      </c>
      <c r="G3" s="333" t="s">
        <v>607</v>
      </c>
      <c r="H3" s="331" t="s">
        <v>608</v>
      </c>
      <c r="I3" s="332" t="s">
        <v>609</v>
      </c>
      <c r="J3" s="332" t="s">
        <v>610</v>
      </c>
      <c r="K3" s="334" t="s">
        <v>611</v>
      </c>
      <c r="L3" s="332" t="s">
        <v>608</v>
      </c>
      <c r="M3" s="332" t="s">
        <v>609</v>
      </c>
      <c r="N3" s="332" t="s">
        <v>610</v>
      </c>
      <c r="O3" s="333" t="s">
        <v>611</v>
      </c>
      <c r="P3" s="14" t="s">
        <v>612</v>
      </c>
      <c r="Q3" s="14" t="s">
        <v>613</v>
      </c>
      <c r="R3" s="14" t="s">
        <v>614</v>
      </c>
      <c r="S3" s="122" t="s">
        <v>615</v>
      </c>
      <c r="T3" s="14" t="s">
        <v>616</v>
      </c>
      <c r="U3" s="14" t="s">
        <v>617</v>
      </c>
      <c r="V3" s="14" t="s">
        <v>618</v>
      </c>
      <c r="W3" s="14" t="s">
        <v>619</v>
      </c>
      <c r="X3" s="14" t="s">
        <v>620</v>
      </c>
      <c r="Y3" s="123" t="s">
        <v>621</v>
      </c>
      <c r="Z3" s="14" t="s">
        <v>622</v>
      </c>
      <c r="AA3" s="14" t="s">
        <v>623</v>
      </c>
      <c r="AB3" s="122" t="s">
        <v>624</v>
      </c>
      <c r="AC3" s="141" t="s">
        <v>625</v>
      </c>
      <c r="AD3" s="14" t="s">
        <v>626</v>
      </c>
      <c r="AE3" s="122" t="s">
        <v>627</v>
      </c>
      <c r="AF3" s="123" t="s">
        <v>628</v>
      </c>
      <c r="AG3" s="14" t="s">
        <v>629</v>
      </c>
      <c r="AH3" s="14" t="s">
        <v>630</v>
      </c>
      <c r="AI3" s="14" t="s">
        <v>631</v>
      </c>
    </row>
    <row r="4" spans="1:39" s="13" customFormat="1" x14ac:dyDescent="0.35">
      <c r="A4" s="335" t="s">
        <v>348</v>
      </c>
      <c r="B4" s="340">
        <f t="shared" ref="B4:S4" si="0">B5+B21+B35</f>
        <v>0</v>
      </c>
      <c r="C4" s="106">
        <f t="shared" si="0"/>
        <v>0</v>
      </c>
      <c r="D4" s="106">
        <f t="shared" si="0"/>
        <v>0</v>
      </c>
      <c r="E4" s="106">
        <f>E5+E21+E35</f>
        <v>0</v>
      </c>
      <c r="F4" s="106">
        <f t="shared" si="0"/>
        <v>0</v>
      </c>
      <c r="G4" s="110">
        <f t="shared" si="0"/>
        <v>0</v>
      </c>
      <c r="H4" s="340">
        <f t="shared" si="0"/>
        <v>0</v>
      </c>
      <c r="I4" s="106">
        <f t="shared" si="0"/>
        <v>0</v>
      </c>
      <c r="J4" s="106">
        <f t="shared" si="0"/>
        <v>0</v>
      </c>
      <c r="K4" s="106">
        <f t="shared" si="0"/>
        <v>0</v>
      </c>
      <c r="L4" s="106">
        <f>L5+L21+L35</f>
        <v>0</v>
      </c>
      <c r="M4" s="106">
        <f t="shared" si="0"/>
        <v>0</v>
      </c>
      <c r="N4" s="106">
        <f t="shared" si="0"/>
        <v>0</v>
      </c>
      <c r="O4" s="110">
        <f t="shared" si="0"/>
        <v>0</v>
      </c>
      <c r="P4" s="15">
        <f t="shared" si="0"/>
        <v>4037</v>
      </c>
      <c r="Q4" s="15">
        <f t="shared" si="0"/>
        <v>820</v>
      </c>
      <c r="R4" s="15">
        <f t="shared" si="0"/>
        <v>4890</v>
      </c>
      <c r="S4" s="97">
        <f t="shared" si="0"/>
        <v>719</v>
      </c>
      <c r="T4" s="15"/>
      <c r="U4" s="15"/>
      <c r="V4" s="15"/>
      <c r="W4" s="15"/>
      <c r="X4" s="15"/>
      <c r="Y4" s="15">
        <f t="shared" ref="Y4:AI4" si="1">Y5+Y21+Y35</f>
        <v>0</v>
      </c>
      <c r="Z4" s="15">
        <f t="shared" si="1"/>
        <v>1285</v>
      </c>
      <c r="AA4" s="15">
        <f t="shared" si="1"/>
        <v>56</v>
      </c>
      <c r="AB4" s="97">
        <f t="shared" si="1"/>
        <v>12</v>
      </c>
      <c r="AC4" s="140" t="e">
        <f>AD4/B4</f>
        <v>#DIV/0!</v>
      </c>
      <c r="AD4" s="15">
        <f>AD5+AD21+AD35</f>
        <v>6391</v>
      </c>
      <c r="AE4" s="97">
        <f t="shared" si="1"/>
        <v>0</v>
      </c>
      <c r="AF4" s="15">
        <f t="shared" si="1"/>
        <v>0</v>
      </c>
      <c r="AG4" s="15">
        <f t="shared" si="1"/>
        <v>492312.41000000003</v>
      </c>
      <c r="AH4" s="15">
        <f t="shared" si="1"/>
        <v>153875.81</v>
      </c>
      <c r="AI4" s="15">
        <f t="shared" si="1"/>
        <v>146821.88</v>
      </c>
      <c r="AJ4" s="13" t="e">
        <f>AG4/B4</f>
        <v>#DIV/0!</v>
      </c>
      <c r="AL4" s="140"/>
      <c r="AM4" s="13" t="e">
        <f>(L4+M4+N4)/(SUM(L4:O4))</f>
        <v>#DIV/0!</v>
      </c>
    </row>
    <row r="5" spans="1:39" s="13" customFormat="1" x14ac:dyDescent="0.35">
      <c r="A5" s="336" t="s">
        <v>349</v>
      </c>
      <c r="B5" s="172">
        <f t="shared" ref="B5:AI5" si="2">B6+B9+B11+B13+B15+B19</f>
        <v>0</v>
      </c>
      <c r="C5" s="104">
        <f t="shared" si="2"/>
        <v>0</v>
      </c>
      <c r="D5" s="104">
        <f t="shared" si="2"/>
        <v>0</v>
      </c>
      <c r="E5" s="104">
        <f t="shared" si="2"/>
        <v>0</v>
      </c>
      <c r="F5" s="104">
        <f t="shared" si="2"/>
        <v>0</v>
      </c>
      <c r="G5" s="114">
        <f t="shared" si="2"/>
        <v>0</v>
      </c>
      <c r="H5" s="172">
        <f t="shared" si="2"/>
        <v>0</v>
      </c>
      <c r="I5" s="104">
        <f t="shared" si="2"/>
        <v>0</v>
      </c>
      <c r="J5" s="104">
        <f t="shared" si="2"/>
        <v>0</v>
      </c>
      <c r="K5" s="104">
        <f t="shared" si="2"/>
        <v>0</v>
      </c>
      <c r="L5" s="104">
        <f t="shared" si="2"/>
        <v>0</v>
      </c>
      <c r="M5" s="104">
        <f t="shared" si="2"/>
        <v>0</v>
      </c>
      <c r="N5" s="104">
        <f t="shared" si="2"/>
        <v>0</v>
      </c>
      <c r="O5" s="114">
        <f t="shared" si="2"/>
        <v>0</v>
      </c>
      <c r="P5" s="15">
        <f t="shared" si="2"/>
        <v>1485</v>
      </c>
      <c r="Q5" s="15">
        <f t="shared" si="2"/>
        <v>165</v>
      </c>
      <c r="R5" s="15">
        <f t="shared" si="2"/>
        <v>3912</v>
      </c>
      <c r="S5" s="97">
        <f t="shared" si="2"/>
        <v>576</v>
      </c>
      <c r="T5" s="15">
        <f t="shared" si="2"/>
        <v>2</v>
      </c>
      <c r="U5" s="15">
        <f t="shared" si="2"/>
        <v>0</v>
      </c>
      <c r="V5" s="15">
        <f t="shared" si="2"/>
        <v>23</v>
      </c>
      <c r="W5" s="15">
        <f t="shared" si="2"/>
        <v>21</v>
      </c>
      <c r="X5" s="15">
        <f t="shared" si="2"/>
        <v>268</v>
      </c>
      <c r="Y5" s="15">
        <f t="shared" si="2"/>
        <v>0</v>
      </c>
      <c r="Z5" s="15">
        <f t="shared" si="2"/>
        <v>602</v>
      </c>
      <c r="AA5" s="15">
        <f t="shared" si="2"/>
        <v>39</v>
      </c>
      <c r="AB5" s="97">
        <f t="shared" si="2"/>
        <v>7</v>
      </c>
      <c r="AC5" s="140" t="e">
        <f t="shared" si="2"/>
        <v>#DIV/0!</v>
      </c>
      <c r="AD5" s="15">
        <f>AD6+AD9+AD11+AD13+AD15+AD19</f>
        <v>4478</v>
      </c>
      <c r="AE5" s="97">
        <f t="shared" si="2"/>
        <v>0</v>
      </c>
      <c r="AF5" s="15">
        <f t="shared" si="2"/>
        <v>0</v>
      </c>
      <c r="AG5" s="15">
        <f t="shared" si="2"/>
        <v>51138</v>
      </c>
      <c r="AH5" s="15">
        <f t="shared" si="2"/>
        <v>23804.5</v>
      </c>
      <c r="AI5" s="15">
        <f t="shared" si="2"/>
        <v>17387</v>
      </c>
    </row>
    <row r="6" spans="1:39" x14ac:dyDescent="0.35">
      <c r="A6" s="337" t="s">
        <v>351</v>
      </c>
      <c r="B6" s="174">
        <f t="shared" ref="B6:AI6" si="3">SUM(B7:B8)</f>
        <v>0</v>
      </c>
      <c r="C6" s="108">
        <f t="shared" si="3"/>
        <v>0</v>
      </c>
      <c r="D6" s="108">
        <f t="shared" si="3"/>
        <v>0</v>
      </c>
      <c r="E6" s="108">
        <f t="shared" si="3"/>
        <v>0</v>
      </c>
      <c r="F6" s="108">
        <f t="shared" si="3"/>
        <v>0</v>
      </c>
      <c r="G6" s="111">
        <f t="shared" si="3"/>
        <v>0</v>
      </c>
      <c r="H6" s="174">
        <f t="shared" si="3"/>
        <v>0</v>
      </c>
      <c r="I6" s="108">
        <f t="shared" si="3"/>
        <v>0</v>
      </c>
      <c r="J6" s="108">
        <f t="shared" si="3"/>
        <v>0</v>
      </c>
      <c r="K6" s="108">
        <f t="shared" si="3"/>
        <v>0</v>
      </c>
      <c r="L6" s="108">
        <f t="shared" si="3"/>
        <v>0</v>
      </c>
      <c r="M6" s="108">
        <f t="shared" si="3"/>
        <v>0</v>
      </c>
      <c r="N6" s="108">
        <f t="shared" si="3"/>
        <v>0</v>
      </c>
      <c r="O6" s="111">
        <f t="shared" si="3"/>
        <v>0</v>
      </c>
      <c r="P6" s="7">
        <f t="shared" si="3"/>
        <v>430</v>
      </c>
      <c r="Q6" s="7">
        <f t="shared" si="3"/>
        <v>164</v>
      </c>
      <c r="R6" s="7">
        <f t="shared" si="3"/>
        <v>2150</v>
      </c>
      <c r="S6" s="35">
        <f t="shared" si="3"/>
        <v>31</v>
      </c>
      <c r="T6" s="7">
        <f t="shared" si="3"/>
        <v>2</v>
      </c>
      <c r="U6" s="7">
        <f t="shared" si="3"/>
        <v>0</v>
      </c>
      <c r="V6" s="7">
        <f t="shared" si="3"/>
        <v>2</v>
      </c>
      <c r="W6" s="7">
        <f t="shared" si="3"/>
        <v>5</v>
      </c>
      <c r="X6" s="7">
        <f t="shared" si="3"/>
        <v>1</v>
      </c>
      <c r="Y6" s="7">
        <f t="shared" si="3"/>
        <v>0</v>
      </c>
      <c r="Z6" s="7">
        <f t="shared" si="3"/>
        <v>42</v>
      </c>
      <c r="AA6" s="7">
        <f t="shared" si="3"/>
        <v>18</v>
      </c>
      <c r="AB6" s="35">
        <f t="shared" si="3"/>
        <v>0</v>
      </c>
      <c r="AC6" s="6">
        <f t="shared" si="3"/>
        <v>0</v>
      </c>
      <c r="AD6" s="7">
        <f t="shared" si="3"/>
        <v>1510</v>
      </c>
      <c r="AE6" s="35">
        <f t="shared" si="3"/>
        <v>0</v>
      </c>
      <c r="AF6" s="15">
        <f t="shared" si="3"/>
        <v>0</v>
      </c>
      <c r="AG6" s="7">
        <f t="shared" si="3"/>
        <v>15925</v>
      </c>
      <c r="AH6" s="7">
        <f t="shared" si="3"/>
        <v>0</v>
      </c>
      <c r="AI6" s="7">
        <f t="shared" si="3"/>
        <v>0</v>
      </c>
    </row>
    <row r="7" spans="1:39" x14ac:dyDescent="0.35">
      <c r="A7" s="338" t="s">
        <v>352</v>
      </c>
      <c r="B7" s="252"/>
      <c r="C7" s="107"/>
      <c r="D7" s="107"/>
      <c r="E7" s="253"/>
      <c r="F7" s="107"/>
      <c r="G7" s="113"/>
      <c r="H7" s="252"/>
      <c r="I7" s="253"/>
      <c r="J7" s="253"/>
      <c r="K7" s="253"/>
      <c r="L7" s="253"/>
      <c r="M7" s="253"/>
      <c r="N7" s="253"/>
      <c r="O7" s="254"/>
      <c r="P7" s="7">
        <v>425</v>
      </c>
      <c r="Q7" s="7">
        <v>0</v>
      </c>
      <c r="R7" s="7">
        <v>2041</v>
      </c>
      <c r="S7" s="35">
        <v>24</v>
      </c>
      <c r="T7" s="7">
        <v>0</v>
      </c>
      <c r="U7" s="7">
        <v>0</v>
      </c>
      <c r="V7" s="7">
        <v>2</v>
      </c>
      <c r="W7" s="7">
        <v>3</v>
      </c>
      <c r="X7" s="7">
        <v>1</v>
      </c>
      <c r="Y7" s="7">
        <v>0</v>
      </c>
      <c r="Z7" s="7">
        <v>31</v>
      </c>
      <c r="AA7" s="7">
        <v>17</v>
      </c>
      <c r="AB7" s="35">
        <v>0</v>
      </c>
      <c r="AC7" s="6">
        <v>0</v>
      </c>
      <c r="AD7" s="7">
        <v>1510</v>
      </c>
      <c r="AE7" s="35">
        <v>0</v>
      </c>
      <c r="AF7" s="15">
        <v>0</v>
      </c>
      <c r="AG7" s="7">
        <v>0</v>
      </c>
      <c r="AH7" s="7">
        <v>0</v>
      </c>
      <c r="AI7" s="7">
        <v>0</v>
      </c>
    </row>
    <row r="8" spans="1:39" x14ac:dyDescent="0.35">
      <c r="A8" s="338" t="s">
        <v>353</v>
      </c>
      <c r="B8" s="252"/>
      <c r="C8" s="107"/>
      <c r="D8" s="107"/>
      <c r="E8" s="253"/>
      <c r="F8" s="107"/>
      <c r="G8" s="113"/>
      <c r="H8" s="252"/>
      <c r="I8" s="253"/>
      <c r="J8" s="253"/>
      <c r="K8" s="253"/>
      <c r="L8" s="253"/>
      <c r="M8" s="253"/>
      <c r="N8" s="253"/>
      <c r="O8" s="254"/>
      <c r="P8" s="7">
        <v>5</v>
      </c>
      <c r="Q8" s="7">
        <v>164</v>
      </c>
      <c r="R8" s="7">
        <v>109</v>
      </c>
      <c r="S8" s="35">
        <v>7</v>
      </c>
      <c r="T8" s="7">
        <v>2</v>
      </c>
      <c r="U8" s="7"/>
      <c r="V8" s="7">
        <v>0</v>
      </c>
      <c r="W8" s="7">
        <v>2</v>
      </c>
      <c r="X8" s="7">
        <v>0</v>
      </c>
      <c r="Y8" s="7"/>
      <c r="Z8" s="7">
        <v>11</v>
      </c>
      <c r="AA8" s="7">
        <v>1</v>
      </c>
      <c r="AB8" s="35">
        <v>0</v>
      </c>
      <c r="AD8" s="7">
        <v>0</v>
      </c>
      <c r="AE8" s="35"/>
      <c r="AF8" s="15"/>
      <c r="AG8" s="7">
        <v>15925</v>
      </c>
      <c r="AH8" s="7">
        <v>0</v>
      </c>
      <c r="AI8" s="7">
        <v>0</v>
      </c>
    </row>
    <row r="9" spans="1:39" x14ac:dyDescent="0.35">
      <c r="A9" s="337" t="s">
        <v>354</v>
      </c>
      <c r="B9" s="174">
        <f t="shared" ref="B9:AI9" si="4">B10</f>
        <v>0</v>
      </c>
      <c r="C9" s="108">
        <f t="shared" si="4"/>
        <v>0</v>
      </c>
      <c r="D9" s="108">
        <f t="shared" si="4"/>
        <v>0</v>
      </c>
      <c r="E9" s="108">
        <f t="shared" si="4"/>
        <v>0</v>
      </c>
      <c r="F9" s="108">
        <f t="shared" si="4"/>
        <v>0</v>
      </c>
      <c r="G9" s="111">
        <f t="shared" si="4"/>
        <v>0</v>
      </c>
      <c r="H9" s="174">
        <f t="shared" si="4"/>
        <v>0</v>
      </c>
      <c r="I9" s="108">
        <f t="shared" si="4"/>
        <v>0</v>
      </c>
      <c r="J9" s="108">
        <f t="shared" si="4"/>
        <v>0</v>
      </c>
      <c r="K9" s="108">
        <f t="shared" si="4"/>
        <v>0</v>
      </c>
      <c r="L9" s="108">
        <f t="shared" si="4"/>
        <v>0</v>
      </c>
      <c r="M9" s="108">
        <f t="shared" si="4"/>
        <v>0</v>
      </c>
      <c r="N9" s="108">
        <f t="shared" si="4"/>
        <v>0</v>
      </c>
      <c r="O9" s="111">
        <f t="shared" si="4"/>
        <v>0</v>
      </c>
      <c r="P9" s="7">
        <f t="shared" si="4"/>
        <v>999</v>
      </c>
      <c r="Q9" s="7">
        <f t="shared" si="4"/>
        <v>0</v>
      </c>
      <c r="R9" s="7">
        <f t="shared" si="4"/>
        <v>0</v>
      </c>
      <c r="S9" s="35">
        <f t="shared" si="4"/>
        <v>0</v>
      </c>
      <c r="T9" s="7">
        <f t="shared" si="4"/>
        <v>0</v>
      </c>
      <c r="U9" s="7">
        <f t="shared" si="4"/>
        <v>0</v>
      </c>
      <c r="V9" s="7">
        <f t="shared" si="4"/>
        <v>15</v>
      </c>
      <c r="W9" s="7">
        <f t="shared" si="4"/>
        <v>5</v>
      </c>
      <c r="X9" s="7">
        <f t="shared" si="4"/>
        <v>30</v>
      </c>
      <c r="Y9" s="7">
        <f t="shared" si="4"/>
        <v>0</v>
      </c>
      <c r="Z9" s="7">
        <f t="shared" si="4"/>
        <v>22</v>
      </c>
      <c r="AA9" s="7">
        <f t="shared" si="4"/>
        <v>5</v>
      </c>
      <c r="AB9" s="35">
        <f t="shared" si="4"/>
        <v>0</v>
      </c>
      <c r="AC9" s="140" t="e">
        <f>AD9/B9</f>
        <v>#DIV/0!</v>
      </c>
      <c r="AD9" s="7">
        <f>AD10</f>
        <v>414</v>
      </c>
      <c r="AE9" s="35">
        <f t="shared" si="4"/>
        <v>0</v>
      </c>
      <c r="AF9" s="15">
        <f t="shared" si="4"/>
        <v>0</v>
      </c>
      <c r="AG9" s="7">
        <f t="shared" si="4"/>
        <v>784</v>
      </c>
      <c r="AH9" s="7">
        <f t="shared" si="4"/>
        <v>0</v>
      </c>
      <c r="AI9" s="7">
        <f t="shared" si="4"/>
        <v>0</v>
      </c>
    </row>
    <row r="10" spans="1:39" x14ac:dyDescent="0.35">
      <c r="A10" s="338" t="s">
        <v>355</v>
      </c>
      <c r="B10" s="252"/>
      <c r="C10" s="107"/>
      <c r="D10" s="107"/>
      <c r="E10" s="253"/>
      <c r="F10" s="107"/>
      <c r="G10" s="113"/>
      <c r="H10" s="252"/>
      <c r="I10" s="253"/>
      <c r="J10" s="253"/>
      <c r="K10" s="253"/>
      <c r="L10" s="253"/>
      <c r="M10" s="253"/>
      <c r="N10" s="253"/>
      <c r="O10" s="254"/>
      <c r="P10" s="7">
        <v>999</v>
      </c>
      <c r="Q10" s="7">
        <v>0</v>
      </c>
      <c r="R10" s="7">
        <v>0</v>
      </c>
      <c r="S10" s="35">
        <v>0</v>
      </c>
      <c r="T10" s="7">
        <v>0</v>
      </c>
      <c r="U10" s="7"/>
      <c r="V10" s="7">
        <v>15</v>
      </c>
      <c r="W10" s="7">
        <v>5</v>
      </c>
      <c r="X10" s="7">
        <v>30</v>
      </c>
      <c r="Y10" s="7"/>
      <c r="Z10" s="7">
        <v>22</v>
      </c>
      <c r="AA10" s="7">
        <v>5</v>
      </c>
      <c r="AB10" s="35">
        <v>0</v>
      </c>
      <c r="AD10" s="152">
        <v>414</v>
      </c>
      <c r="AE10" s="35"/>
      <c r="AF10" s="15"/>
      <c r="AG10" s="7">
        <v>784</v>
      </c>
      <c r="AH10" s="7">
        <v>0</v>
      </c>
      <c r="AI10" s="7"/>
    </row>
    <row r="11" spans="1:39" x14ac:dyDescent="0.35">
      <c r="A11" s="337" t="s">
        <v>356</v>
      </c>
      <c r="B11" s="174">
        <f t="shared" ref="B11:AI11" si="5">B12</f>
        <v>0</v>
      </c>
      <c r="C11" s="108">
        <f t="shared" si="5"/>
        <v>0</v>
      </c>
      <c r="D11" s="108">
        <f t="shared" si="5"/>
        <v>0</v>
      </c>
      <c r="E11" s="108">
        <f t="shared" si="5"/>
        <v>0</v>
      </c>
      <c r="F11" s="108">
        <f t="shared" si="5"/>
        <v>0</v>
      </c>
      <c r="G11" s="111">
        <f t="shared" si="5"/>
        <v>0</v>
      </c>
      <c r="H11" s="174">
        <f t="shared" si="5"/>
        <v>0</v>
      </c>
      <c r="I11" s="108">
        <f t="shared" si="5"/>
        <v>0</v>
      </c>
      <c r="J11" s="108">
        <f t="shared" si="5"/>
        <v>0</v>
      </c>
      <c r="K11" s="108">
        <f t="shared" si="5"/>
        <v>0</v>
      </c>
      <c r="L11" s="108">
        <f t="shared" si="5"/>
        <v>0</v>
      </c>
      <c r="M11" s="108">
        <f t="shared" si="5"/>
        <v>0</v>
      </c>
      <c r="N11" s="108">
        <f t="shared" si="5"/>
        <v>0</v>
      </c>
      <c r="O11" s="111">
        <f t="shared" si="5"/>
        <v>0</v>
      </c>
      <c r="P11" s="7">
        <f t="shared" si="5"/>
        <v>23</v>
      </c>
      <c r="Q11" s="7">
        <f t="shared" si="5"/>
        <v>1</v>
      </c>
      <c r="R11" s="7">
        <f t="shared" si="5"/>
        <v>5</v>
      </c>
      <c r="S11" s="35">
        <f t="shared" si="5"/>
        <v>14</v>
      </c>
      <c r="T11" s="7">
        <f t="shared" si="5"/>
        <v>0</v>
      </c>
      <c r="U11" s="7">
        <f t="shared" si="5"/>
        <v>0</v>
      </c>
      <c r="V11" s="7">
        <f t="shared" si="5"/>
        <v>1</v>
      </c>
      <c r="W11" s="7">
        <f t="shared" si="5"/>
        <v>6</v>
      </c>
      <c r="X11" s="7">
        <f t="shared" si="5"/>
        <v>17</v>
      </c>
      <c r="Y11" s="7">
        <f t="shared" si="5"/>
        <v>0</v>
      </c>
      <c r="Z11" s="7">
        <f t="shared" si="5"/>
        <v>248</v>
      </c>
      <c r="AA11" s="7">
        <f t="shared" si="5"/>
        <v>7</v>
      </c>
      <c r="AB11" s="35">
        <f t="shared" si="5"/>
        <v>5</v>
      </c>
      <c r="AC11" s="6">
        <f t="shared" si="5"/>
        <v>0</v>
      </c>
      <c r="AD11" s="7">
        <f t="shared" si="5"/>
        <v>1629</v>
      </c>
      <c r="AE11" s="35">
        <f t="shared" si="5"/>
        <v>0</v>
      </c>
      <c r="AF11" s="15">
        <f t="shared" si="5"/>
        <v>0</v>
      </c>
      <c r="AG11" s="7">
        <f t="shared" si="5"/>
        <v>3306</v>
      </c>
      <c r="AH11" s="7">
        <f t="shared" si="5"/>
        <v>17430</v>
      </c>
      <c r="AI11" s="7">
        <f t="shared" si="5"/>
        <v>6075</v>
      </c>
    </row>
    <row r="12" spans="1:39" x14ac:dyDescent="0.35">
      <c r="A12" s="338" t="s">
        <v>357</v>
      </c>
      <c r="B12" s="252"/>
      <c r="C12" s="107"/>
      <c r="D12" s="107"/>
      <c r="E12" s="253"/>
      <c r="F12" s="107"/>
      <c r="G12" s="113"/>
      <c r="H12" s="252"/>
      <c r="I12" s="253"/>
      <c r="J12" s="253"/>
      <c r="K12" s="253"/>
      <c r="L12" s="253"/>
      <c r="M12" s="253"/>
      <c r="N12" s="253"/>
      <c r="O12" s="254"/>
      <c r="P12" s="16">
        <v>23</v>
      </c>
      <c r="Q12" s="16">
        <v>1</v>
      </c>
      <c r="R12" s="16">
        <v>5</v>
      </c>
      <c r="S12" s="37">
        <v>14</v>
      </c>
      <c r="T12" s="20"/>
      <c r="U12" s="20">
        <v>0</v>
      </c>
      <c r="V12" s="20">
        <v>1</v>
      </c>
      <c r="W12" s="20">
        <v>6</v>
      </c>
      <c r="X12" s="20">
        <v>17</v>
      </c>
      <c r="Y12" s="20"/>
      <c r="Z12" s="20">
        <v>248</v>
      </c>
      <c r="AA12" s="20">
        <v>7</v>
      </c>
      <c r="AB12" s="36">
        <v>5</v>
      </c>
      <c r="AC12" s="29"/>
      <c r="AD12" s="20">
        <v>1629</v>
      </c>
      <c r="AE12" s="36"/>
      <c r="AF12" s="21"/>
      <c r="AG12" s="20">
        <v>3306</v>
      </c>
      <c r="AH12" s="20">
        <v>17430</v>
      </c>
      <c r="AI12" s="20">
        <v>6075</v>
      </c>
    </row>
    <row r="13" spans="1:39" x14ac:dyDescent="0.35">
      <c r="A13" s="337" t="s">
        <v>358</v>
      </c>
      <c r="B13" s="174">
        <f t="shared" ref="B13:AI13" si="6">B14</f>
        <v>0</v>
      </c>
      <c r="C13" s="108">
        <f t="shared" si="6"/>
        <v>0</v>
      </c>
      <c r="D13" s="108">
        <f t="shared" si="6"/>
        <v>0</v>
      </c>
      <c r="E13" s="108">
        <f t="shared" si="6"/>
        <v>0</v>
      </c>
      <c r="F13" s="108">
        <f t="shared" si="6"/>
        <v>0</v>
      </c>
      <c r="G13" s="111">
        <f t="shared" si="6"/>
        <v>0</v>
      </c>
      <c r="H13" s="174">
        <f t="shared" si="6"/>
        <v>0</v>
      </c>
      <c r="I13" s="108">
        <f t="shared" si="6"/>
        <v>0</v>
      </c>
      <c r="J13" s="108">
        <f t="shared" si="6"/>
        <v>0</v>
      </c>
      <c r="K13" s="108">
        <f t="shared" si="6"/>
        <v>0</v>
      </c>
      <c r="L13" s="108">
        <f t="shared" si="6"/>
        <v>0</v>
      </c>
      <c r="M13" s="108">
        <f t="shared" si="6"/>
        <v>0</v>
      </c>
      <c r="N13" s="108">
        <f t="shared" si="6"/>
        <v>0</v>
      </c>
      <c r="O13" s="111">
        <f t="shared" si="6"/>
        <v>0</v>
      </c>
      <c r="P13" s="7">
        <f t="shared" si="6"/>
        <v>33</v>
      </c>
      <c r="Q13" s="7">
        <f t="shared" si="6"/>
        <v>0</v>
      </c>
      <c r="R13" s="7">
        <f t="shared" si="6"/>
        <v>32</v>
      </c>
      <c r="S13" s="35">
        <f t="shared" si="6"/>
        <v>499</v>
      </c>
      <c r="T13" s="7">
        <f t="shared" si="6"/>
        <v>0</v>
      </c>
      <c r="U13" s="7">
        <f t="shared" si="6"/>
        <v>0</v>
      </c>
      <c r="V13" s="7">
        <f t="shared" si="6"/>
        <v>1</v>
      </c>
      <c r="W13" s="7">
        <f t="shared" si="6"/>
        <v>0</v>
      </c>
      <c r="X13" s="7">
        <f t="shared" si="6"/>
        <v>6</v>
      </c>
      <c r="Y13" s="7">
        <f t="shared" si="6"/>
        <v>0</v>
      </c>
      <c r="Z13" s="7">
        <f t="shared" si="6"/>
        <v>0</v>
      </c>
      <c r="AA13" s="7">
        <f t="shared" si="6"/>
        <v>0</v>
      </c>
      <c r="AB13" s="35">
        <f t="shared" si="6"/>
        <v>0</v>
      </c>
      <c r="AC13" s="6">
        <f t="shared" si="6"/>
        <v>0</v>
      </c>
      <c r="AD13" s="7">
        <f t="shared" si="6"/>
        <v>0</v>
      </c>
      <c r="AE13" s="35">
        <f t="shared" si="6"/>
        <v>0</v>
      </c>
      <c r="AF13" s="15">
        <f t="shared" si="6"/>
        <v>0</v>
      </c>
      <c r="AG13" s="7">
        <f t="shared" si="6"/>
        <v>13589</v>
      </c>
      <c r="AH13" s="7">
        <f t="shared" si="6"/>
        <v>1723</v>
      </c>
      <c r="AI13" s="7">
        <f t="shared" si="6"/>
        <v>9620</v>
      </c>
    </row>
    <row r="14" spans="1:39" x14ac:dyDescent="0.35">
      <c r="A14" s="338" t="s">
        <v>359</v>
      </c>
      <c r="B14" s="252"/>
      <c r="C14" s="107"/>
      <c r="D14" s="107"/>
      <c r="E14" s="253"/>
      <c r="F14" s="107"/>
      <c r="G14" s="113"/>
      <c r="H14" s="252"/>
      <c r="I14" s="253"/>
      <c r="J14" s="253"/>
      <c r="K14" s="253"/>
      <c r="L14" s="253"/>
      <c r="M14" s="253"/>
      <c r="N14" s="253"/>
      <c r="O14" s="254"/>
      <c r="P14" s="16">
        <v>33</v>
      </c>
      <c r="Q14" s="16">
        <v>0</v>
      </c>
      <c r="R14" s="16">
        <v>32</v>
      </c>
      <c r="S14" s="37">
        <v>499</v>
      </c>
      <c r="T14" s="7">
        <v>0</v>
      </c>
      <c r="U14" s="7"/>
      <c r="V14" s="7">
        <v>1</v>
      </c>
      <c r="W14" s="7">
        <v>0</v>
      </c>
      <c r="X14" s="7">
        <v>6</v>
      </c>
      <c r="Y14" s="7"/>
      <c r="Z14" s="7">
        <v>0</v>
      </c>
      <c r="AA14" s="7">
        <v>0</v>
      </c>
      <c r="AB14" s="35">
        <v>0</v>
      </c>
      <c r="AD14" s="7"/>
      <c r="AE14" s="35">
        <v>0</v>
      </c>
      <c r="AF14" s="15"/>
      <c r="AG14" s="7">
        <v>13589</v>
      </c>
      <c r="AH14" s="7">
        <v>1723</v>
      </c>
      <c r="AI14" s="7">
        <v>9620</v>
      </c>
    </row>
    <row r="15" spans="1:39" x14ac:dyDescent="0.35">
      <c r="A15" s="337" t="s">
        <v>360</v>
      </c>
      <c r="B15" s="174">
        <f>SUM(B16:B18)</f>
        <v>0</v>
      </c>
      <c r="C15" s="108">
        <f>SUM(C16:C18)</f>
        <v>0</v>
      </c>
      <c r="D15" s="108">
        <f>SUM(D16:D18)</f>
        <v>0</v>
      </c>
      <c r="E15" s="108">
        <f>SUM(E16:E18)</f>
        <v>0</v>
      </c>
      <c r="F15" s="108"/>
      <c r="G15" s="111"/>
      <c r="H15" s="174">
        <f t="shared" ref="H15:AI15" si="7">SUM(H16:H18)</f>
        <v>0</v>
      </c>
      <c r="I15" s="108">
        <f t="shared" si="7"/>
        <v>0</v>
      </c>
      <c r="J15" s="108">
        <f t="shared" si="7"/>
        <v>0</v>
      </c>
      <c r="K15" s="108">
        <f t="shared" si="7"/>
        <v>0</v>
      </c>
      <c r="L15" s="108">
        <f t="shared" si="7"/>
        <v>0</v>
      </c>
      <c r="M15" s="108">
        <f t="shared" si="7"/>
        <v>0</v>
      </c>
      <c r="N15" s="108">
        <f t="shared" si="7"/>
        <v>0</v>
      </c>
      <c r="O15" s="111">
        <f t="shared" si="7"/>
        <v>0</v>
      </c>
      <c r="P15" s="7">
        <f t="shared" si="7"/>
        <v>0</v>
      </c>
      <c r="Q15" s="7">
        <f t="shared" si="7"/>
        <v>0</v>
      </c>
      <c r="R15" s="7">
        <f t="shared" si="7"/>
        <v>1725</v>
      </c>
      <c r="S15" s="35">
        <f t="shared" si="7"/>
        <v>32</v>
      </c>
      <c r="T15" s="7">
        <f t="shared" si="7"/>
        <v>0</v>
      </c>
      <c r="U15" s="7">
        <f t="shared" si="7"/>
        <v>0</v>
      </c>
      <c r="V15" s="7">
        <f t="shared" si="7"/>
        <v>4</v>
      </c>
      <c r="W15" s="7">
        <f t="shared" si="7"/>
        <v>5</v>
      </c>
      <c r="X15" s="7">
        <f t="shared" si="7"/>
        <v>214</v>
      </c>
      <c r="Y15" s="7">
        <f t="shared" si="7"/>
        <v>0</v>
      </c>
      <c r="Z15" s="7">
        <f t="shared" si="7"/>
        <v>104</v>
      </c>
      <c r="AA15" s="7">
        <f t="shared" si="7"/>
        <v>5</v>
      </c>
      <c r="AB15" s="35">
        <f t="shared" si="7"/>
        <v>1</v>
      </c>
      <c r="AC15" s="6">
        <f t="shared" si="7"/>
        <v>0</v>
      </c>
      <c r="AD15" s="7">
        <f t="shared" si="7"/>
        <v>0</v>
      </c>
      <c r="AE15" s="35">
        <f t="shared" si="7"/>
        <v>0</v>
      </c>
      <c r="AF15" s="15">
        <f t="shared" si="7"/>
        <v>0</v>
      </c>
      <c r="AG15" s="7">
        <f t="shared" si="7"/>
        <v>1718</v>
      </c>
      <c r="AH15" s="7">
        <f t="shared" si="7"/>
        <v>167.5</v>
      </c>
      <c r="AI15" s="7">
        <f t="shared" si="7"/>
        <v>108</v>
      </c>
    </row>
    <row r="16" spans="1:39" x14ac:dyDescent="0.35">
      <c r="A16" s="338" t="s">
        <v>361</v>
      </c>
      <c r="B16" s="252"/>
      <c r="C16" s="107"/>
      <c r="D16" s="107"/>
      <c r="E16" s="253"/>
      <c r="F16" s="107"/>
      <c r="G16" s="113"/>
      <c r="H16" s="252"/>
      <c r="I16" s="253"/>
      <c r="J16" s="253"/>
      <c r="K16" s="253"/>
      <c r="L16" s="253"/>
      <c r="M16" s="253"/>
      <c r="N16" s="253"/>
      <c r="O16" s="254"/>
      <c r="P16" s="16"/>
      <c r="Q16" s="16"/>
      <c r="R16" s="16">
        <v>15</v>
      </c>
      <c r="S16" s="37"/>
      <c r="T16" s="7"/>
      <c r="U16" s="7">
        <v>0</v>
      </c>
      <c r="V16" s="7">
        <v>1</v>
      </c>
      <c r="W16" s="7">
        <v>1</v>
      </c>
      <c r="X16" s="7">
        <v>9</v>
      </c>
      <c r="Y16" s="7"/>
      <c r="Z16" s="7">
        <v>6</v>
      </c>
      <c r="AA16" s="7">
        <v>1</v>
      </c>
      <c r="AB16" s="35">
        <v>0</v>
      </c>
      <c r="AD16" s="20"/>
      <c r="AE16" s="35"/>
      <c r="AF16" s="15"/>
      <c r="AG16" s="7"/>
      <c r="AH16" s="7">
        <v>44</v>
      </c>
      <c r="AI16" s="7">
        <v>84</v>
      </c>
    </row>
    <row r="17" spans="1:35" x14ac:dyDescent="0.35">
      <c r="A17" s="338" t="s">
        <v>362</v>
      </c>
      <c r="B17" s="252"/>
      <c r="C17" s="107"/>
      <c r="D17" s="107"/>
      <c r="E17" s="253"/>
      <c r="F17" s="107"/>
      <c r="G17" s="113"/>
      <c r="H17" s="252"/>
      <c r="I17" s="253"/>
      <c r="J17" s="253"/>
      <c r="K17" s="253"/>
      <c r="L17" s="253"/>
      <c r="M17" s="253"/>
      <c r="N17" s="253"/>
      <c r="O17" s="254"/>
      <c r="P17" s="7"/>
      <c r="Q17" s="7"/>
      <c r="R17" s="7">
        <v>328</v>
      </c>
      <c r="S17" s="35">
        <v>2</v>
      </c>
      <c r="T17" s="7"/>
      <c r="U17" s="7"/>
      <c r="V17" s="7">
        <v>2</v>
      </c>
      <c r="W17" s="7"/>
      <c r="X17" s="7"/>
      <c r="Y17" s="7"/>
      <c r="Z17" s="7">
        <v>17</v>
      </c>
      <c r="AA17" s="7">
        <v>2</v>
      </c>
      <c r="AB17" s="35">
        <v>1</v>
      </c>
      <c r="AD17" s="20">
        <v>0</v>
      </c>
      <c r="AE17" s="35">
        <v>0</v>
      </c>
      <c r="AF17" s="15"/>
      <c r="AG17" s="7">
        <v>138</v>
      </c>
      <c r="AH17" s="7">
        <v>118</v>
      </c>
      <c r="AI17" s="7">
        <v>20</v>
      </c>
    </row>
    <row r="18" spans="1:35" x14ac:dyDescent="0.35">
      <c r="A18" s="338" t="s">
        <v>363</v>
      </c>
      <c r="B18" s="252"/>
      <c r="C18" s="107"/>
      <c r="D18" s="107"/>
      <c r="E18" s="253"/>
      <c r="F18" s="107"/>
      <c r="G18" s="113"/>
      <c r="H18" s="252"/>
      <c r="I18" s="253"/>
      <c r="J18" s="253"/>
      <c r="K18" s="253"/>
      <c r="L18" s="253"/>
      <c r="M18" s="253"/>
      <c r="N18" s="253"/>
      <c r="O18" s="254"/>
      <c r="P18" s="20"/>
      <c r="Q18" s="20"/>
      <c r="R18" s="7">
        <v>1382</v>
      </c>
      <c r="S18" s="35">
        <v>30</v>
      </c>
      <c r="T18" s="7"/>
      <c r="U18" s="7">
        <v>0</v>
      </c>
      <c r="V18" s="7">
        <v>1</v>
      </c>
      <c r="W18" s="7">
        <v>4</v>
      </c>
      <c r="X18" s="7">
        <v>205</v>
      </c>
      <c r="Y18" s="7"/>
      <c r="Z18" s="7">
        <v>81</v>
      </c>
      <c r="AA18" s="7">
        <v>2</v>
      </c>
      <c r="AB18" s="35">
        <v>0</v>
      </c>
      <c r="AD18" s="20"/>
      <c r="AE18" s="35"/>
      <c r="AF18" s="15"/>
      <c r="AG18" s="7">
        <v>1580</v>
      </c>
      <c r="AH18" s="7">
        <v>5.5</v>
      </c>
      <c r="AI18" s="7">
        <v>4</v>
      </c>
    </row>
    <row r="19" spans="1:35" x14ac:dyDescent="0.35">
      <c r="A19" s="337" t="s">
        <v>364</v>
      </c>
      <c r="B19" s="174">
        <f t="shared" ref="B19:AI19" si="8">B20</f>
        <v>0</v>
      </c>
      <c r="C19" s="108">
        <f t="shared" si="8"/>
        <v>0</v>
      </c>
      <c r="D19" s="108">
        <f t="shared" si="8"/>
        <v>0</v>
      </c>
      <c r="E19" s="108">
        <f t="shared" si="8"/>
        <v>0</v>
      </c>
      <c r="F19" s="108">
        <f t="shared" si="8"/>
        <v>0</v>
      </c>
      <c r="G19" s="111">
        <f t="shared" si="8"/>
        <v>0</v>
      </c>
      <c r="H19" s="174">
        <f t="shared" si="8"/>
        <v>0</v>
      </c>
      <c r="I19" s="108">
        <f t="shared" si="8"/>
        <v>0</v>
      </c>
      <c r="J19" s="108">
        <f t="shared" si="8"/>
        <v>0</v>
      </c>
      <c r="K19" s="108">
        <f t="shared" si="8"/>
        <v>0</v>
      </c>
      <c r="L19" s="108">
        <f t="shared" si="8"/>
        <v>0</v>
      </c>
      <c r="M19" s="108">
        <f t="shared" si="8"/>
        <v>0</v>
      </c>
      <c r="N19" s="108">
        <f t="shared" si="8"/>
        <v>0</v>
      </c>
      <c r="O19" s="111">
        <f t="shared" si="8"/>
        <v>0</v>
      </c>
      <c r="P19" s="7">
        <f t="shared" si="8"/>
        <v>0</v>
      </c>
      <c r="Q19" s="7">
        <f t="shared" si="8"/>
        <v>0</v>
      </c>
      <c r="R19" s="7">
        <f t="shared" si="8"/>
        <v>0</v>
      </c>
      <c r="S19" s="35">
        <f t="shared" si="8"/>
        <v>0</v>
      </c>
      <c r="T19" s="7">
        <f t="shared" si="8"/>
        <v>0</v>
      </c>
      <c r="U19" s="7">
        <f t="shared" si="8"/>
        <v>0</v>
      </c>
      <c r="V19" s="7">
        <f t="shared" si="8"/>
        <v>0</v>
      </c>
      <c r="W19" s="7">
        <f t="shared" si="8"/>
        <v>0</v>
      </c>
      <c r="X19" s="7">
        <f t="shared" si="8"/>
        <v>0</v>
      </c>
      <c r="Y19" s="7">
        <f t="shared" si="8"/>
        <v>0</v>
      </c>
      <c r="Z19" s="7">
        <f t="shared" si="8"/>
        <v>186</v>
      </c>
      <c r="AA19" s="7">
        <f t="shared" si="8"/>
        <v>4</v>
      </c>
      <c r="AB19" s="35">
        <f t="shared" si="8"/>
        <v>1</v>
      </c>
      <c r="AC19" s="6">
        <f t="shared" si="8"/>
        <v>0</v>
      </c>
      <c r="AD19" s="7">
        <f t="shared" si="8"/>
        <v>925</v>
      </c>
      <c r="AE19" s="35">
        <f t="shared" si="8"/>
        <v>0</v>
      </c>
      <c r="AF19" s="15">
        <f t="shared" si="8"/>
        <v>0</v>
      </c>
      <c r="AG19" s="7">
        <f t="shared" si="8"/>
        <v>15816</v>
      </c>
      <c r="AH19" s="7">
        <f t="shared" si="8"/>
        <v>4484</v>
      </c>
      <c r="AI19" s="7">
        <f t="shared" si="8"/>
        <v>1584</v>
      </c>
    </row>
    <row r="20" spans="1:35" x14ac:dyDescent="0.35">
      <c r="A20" s="338" t="s">
        <v>365</v>
      </c>
      <c r="B20" s="252"/>
      <c r="C20" s="107"/>
      <c r="D20" s="107"/>
      <c r="E20" s="253"/>
      <c r="F20" s="107"/>
      <c r="G20" s="113"/>
      <c r="H20" s="252"/>
      <c r="I20" s="253"/>
      <c r="J20" s="253"/>
      <c r="K20" s="253"/>
      <c r="L20" s="253"/>
      <c r="M20" s="253"/>
      <c r="N20" s="253"/>
      <c r="O20" s="254"/>
      <c r="P20" s="16"/>
      <c r="Q20" s="16"/>
      <c r="R20" s="16"/>
      <c r="S20" s="37"/>
      <c r="T20" s="20"/>
      <c r="U20" s="20"/>
      <c r="V20" s="20"/>
      <c r="W20" s="20"/>
      <c r="X20" s="20"/>
      <c r="Y20" s="20"/>
      <c r="Z20" s="20">
        <v>186</v>
      </c>
      <c r="AA20" s="20">
        <v>4</v>
      </c>
      <c r="AB20" s="36">
        <v>1</v>
      </c>
      <c r="AC20" s="29"/>
      <c r="AD20" s="20">
        <v>925</v>
      </c>
      <c r="AE20" s="36"/>
      <c r="AF20" s="21"/>
      <c r="AG20" s="20">
        <v>15816</v>
      </c>
      <c r="AH20" s="20">
        <v>4484</v>
      </c>
      <c r="AI20" s="20">
        <v>1584</v>
      </c>
    </row>
    <row r="21" spans="1:35" s="13" customFormat="1" x14ac:dyDescent="0.35">
      <c r="A21" s="336" t="s">
        <v>366</v>
      </c>
      <c r="B21" s="172">
        <f t="shared" ref="B21:AI21" si="9">B22+B25+B28+B30+B33</f>
        <v>0</v>
      </c>
      <c r="C21" s="104">
        <f t="shared" si="9"/>
        <v>0</v>
      </c>
      <c r="D21" s="104">
        <f t="shared" si="9"/>
        <v>0</v>
      </c>
      <c r="E21" s="104">
        <f>E22+E25+E28+E30+E33</f>
        <v>0</v>
      </c>
      <c r="F21" s="104">
        <f t="shared" si="9"/>
        <v>0</v>
      </c>
      <c r="G21" s="114">
        <f t="shared" si="9"/>
        <v>0</v>
      </c>
      <c r="H21" s="172">
        <f t="shared" si="9"/>
        <v>0</v>
      </c>
      <c r="I21" s="104">
        <f t="shared" si="9"/>
        <v>0</v>
      </c>
      <c r="J21" s="104">
        <f t="shared" si="9"/>
        <v>0</v>
      </c>
      <c r="K21" s="104">
        <f t="shared" si="9"/>
        <v>0</v>
      </c>
      <c r="L21" s="104">
        <f t="shared" si="9"/>
        <v>0</v>
      </c>
      <c r="M21" s="104">
        <f t="shared" si="9"/>
        <v>0</v>
      </c>
      <c r="N21" s="104">
        <f t="shared" si="9"/>
        <v>0</v>
      </c>
      <c r="O21" s="114">
        <f t="shared" si="9"/>
        <v>0</v>
      </c>
      <c r="P21" s="15">
        <f t="shared" si="9"/>
        <v>2552</v>
      </c>
      <c r="Q21" s="15">
        <f t="shared" si="9"/>
        <v>655</v>
      </c>
      <c r="R21" s="15">
        <f t="shared" si="9"/>
        <v>978</v>
      </c>
      <c r="S21" s="97">
        <f t="shared" si="9"/>
        <v>143</v>
      </c>
      <c r="T21" s="15">
        <f t="shared" si="9"/>
        <v>63</v>
      </c>
      <c r="U21" s="15">
        <f t="shared" si="9"/>
        <v>0</v>
      </c>
      <c r="V21" s="15">
        <f t="shared" si="9"/>
        <v>126</v>
      </c>
      <c r="W21" s="15">
        <f t="shared" si="9"/>
        <v>1180</v>
      </c>
      <c r="X21" s="15">
        <f t="shared" si="9"/>
        <v>369</v>
      </c>
      <c r="Y21" s="15">
        <f t="shared" si="9"/>
        <v>0</v>
      </c>
      <c r="Z21" s="15">
        <f t="shared" si="9"/>
        <v>626</v>
      </c>
      <c r="AA21" s="15">
        <f t="shared" si="9"/>
        <v>14</v>
      </c>
      <c r="AB21" s="97">
        <f t="shared" si="9"/>
        <v>3</v>
      </c>
      <c r="AC21" s="140">
        <f t="shared" si="9"/>
        <v>0</v>
      </c>
      <c r="AD21" s="15">
        <f t="shared" si="9"/>
        <v>1913</v>
      </c>
      <c r="AE21" s="97">
        <f t="shared" si="9"/>
        <v>0</v>
      </c>
      <c r="AF21" s="15">
        <f t="shared" si="9"/>
        <v>0</v>
      </c>
      <c r="AG21" s="15">
        <f t="shared" si="9"/>
        <v>441174.41000000003</v>
      </c>
      <c r="AH21" s="15">
        <f t="shared" si="9"/>
        <v>130071.31</v>
      </c>
      <c r="AI21" s="15">
        <f t="shared" si="9"/>
        <v>129434.88</v>
      </c>
    </row>
    <row r="22" spans="1:35" x14ac:dyDescent="0.35">
      <c r="A22" s="337" t="s">
        <v>367</v>
      </c>
      <c r="B22" s="174">
        <f t="shared" ref="B22:AI22" si="10">SUM(B23:B24)</f>
        <v>0</v>
      </c>
      <c r="C22" s="108">
        <f t="shared" si="10"/>
        <v>0</v>
      </c>
      <c r="D22" s="108">
        <f t="shared" si="10"/>
        <v>0</v>
      </c>
      <c r="E22" s="108">
        <f t="shared" si="10"/>
        <v>0</v>
      </c>
      <c r="F22" s="108">
        <f t="shared" si="10"/>
        <v>0</v>
      </c>
      <c r="G22" s="111">
        <f t="shared" si="10"/>
        <v>0</v>
      </c>
      <c r="H22" s="174">
        <f t="shared" si="10"/>
        <v>0</v>
      </c>
      <c r="I22" s="108">
        <f t="shared" si="10"/>
        <v>0</v>
      </c>
      <c r="J22" s="108">
        <f t="shared" si="10"/>
        <v>0</v>
      </c>
      <c r="K22" s="108">
        <f t="shared" si="10"/>
        <v>0</v>
      </c>
      <c r="L22" s="108">
        <f t="shared" si="10"/>
        <v>0</v>
      </c>
      <c r="M22" s="108">
        <f t="shared" si="10"/>
        <v>0</v>
      </c>
      <c r="N22" s="108">
        <f t="shared" si="10"/>
        <v>0</v>
      </c>
      <c r="O22" s="111">
        <f t="shared" si="10"/>
        <v>0</v>
      </c>
      <c r="P22" s="7">
        <f t="shared" si="10"/>
        <v>0</v>
      </c>
      <c r="Q22" s="7">
        <f t="shared" si="10"/>
        <v>0</v>
      </c>
      <c r="R22" s="7">
        <f t="shared" si="10"/>
        <v>0</v>
      </c>
      <c r="S22" s="35">
        <f t="shared" si="10"/>
        <v>0</v>
      </c>
      <c r="T22" s="7">
        <f t="shared" si="10"/>
        <v>0</v>
      </c>
      <c r="U22" s="7">
        <f t="shared" si="10"/>
        <v>0</v>
      </c>
      <c r="V22" s="7">
        <f t="shared" si="10"/>
        <v>22</v>
      </c>
      <c r="W22" s="7">
        <f t="shared" si="10"/>
        <v>104</v>
      </c>
      <c r="X22" s="7">
        <f t="shared" si="10"/>
        <v>0</v>
      </c>
      <c r="Y22" s="7">
        <f t="shared" si="10"/>
        <v>0</v>
      </c>
      <c r="Z22" s="7">
        <f t="shared" si="10"/>
        <v>0</v>
      </c>
      <c r="AA22" s="7">
        <f t="shared" si="10"/>
        <v>0</v>
      </c>
      <c r="AB22" s="35">
        <f t="shared" si="10"/>
        <v>0</v>
      </c>
      <c r="AC22" s="6">
        <f t="shared" si="10"/>
        <v>0</v>
      </c>
      <c r="AD22" s="7">
        <f t="shared" si="10"/>
        <v>0</v>
      </c>
      <c r="AE22" s="35">
        <f t="shared" si="10"/>
        <v>0</v>
      </c>
      <c r="AF22" s="15">
        <f t="shared" si="10"/>
        <v>0</v>
      </c>
      <c r="AG22" s="7">
        <f t="shared" si="10"/>
        <v>115879</v>
      </c>
      <c r="AH22" s="7">
        <f t="shared" si="10"/>
        <v>402</v>
      </c>
      <c r="AI22" s="7">
        <f t="shared" si="10"/>
        <v>6671</v>
      </c>
    </row>
    <row r="23" spans="1:35" x14ac:dyDescent="0.35">
      <c r="A23" s="338" t="s">
        <v>368</v>
      </c>
      <c r="B23" s="252"/>
      <c r="C23" s="107"/>
      <c r="D23" s="107"/>
      <c r="E23" s="253"/>
      <c r="F23" s="107"/>
      <c r="G23" s="113"/>
      <c r="H23" s="252"/>
      <c r="I23" s="253"/>
      <c r="J23" s="253"/>
      <c r="K23" s="253"/>
      <c r="L23" s="253"/>
      <c r="M23" s="253"/>
      <c r="N23" s="253"/>
      <c r="O23" s="254"/>
      <c r="P23" s="7">
        <v>0</v>
      </c>
      <c r="Q23" s="7">
        <v>0</v>
      </c>
      <c r="R23" s="7">
        <v>0</v>
      </c>
      <c r="S23" s="35">
        <v>0</v>
      </c>
      <c r="T23" s="7">
        <v>0</v>
      </c>
      <c r="U23" s="7"/>
      <c r="V23" s="7">
        <v>22</v>
      </c>
      <c r="W23" s="7">
        <v>104</v>
      </c>
      <c r="X23" s="7">
        <v>0</v>
      </c>
      <c r="Y23" s="7"/>
      <c r="Z23" s="7">
        <v>0</v>
      </c>
      <c r="AA23" s="7">
        <v>0</v>
      </c>
      <c r="AB23" s="35">
        <v>0</v>
      </c>
      <c r="AD23" s="16"/>
      <c r="AE23" s="35">
        <v>0</v>
      </c>
      <c r="AF23" s="15"/>
      <c r="AG23" s="7">
        <v>108806</v>
      </c>
      <c r="AH23" s="7">
        <v>0</v>
      </c>
      <c r="AI23" s="7">
        <v>0</v>
      </c>
    </row>
    <row r="24" spans="1:35" x14ac:dyDescent="0.35">
      <c r="A24" s="338" t="s">
        <v>369</v>
      </c>
      <c r="B24" s="252"/>
      <c r="C24" s="107"/>
      <c r="D24" s="107"/>
      <c r="E24" s="253"/>
      <c r="F24" s="107"/>
      <c r="G24" s="113"/>
      <c r="H24" s="252"/>
      <c r="I24" s="253"/>
      <c r="J24" s="253"/>
      <c r="K24" s="253"/>
      <c r="L24" s="253"/>
      <c r="M24" s="253"/>
      <c r="N24" s="253"/>
      <c r="O24" s="254"/>
      <c r="P24" s="7">
        <v>0</v>
      </c>
      <c r="Q24" s="7">
        <v>0</v>
      </c>
      <c r="R24" s="7">
        <v>0</v>
      </c>
      <c r="S24" s="35">
        <v>0</v>
      </c>
      <c r="T24" s="7">
        <v>0</v>
      </c>
      <c r="U24" s="7"/>
      <c r="V24" s="7">
        <v>0</v>
      </c>
      <c r="W24" s="7">
        <v>0</v>
      </c>
      <c r="X24" s="7">
        <v>0</v>
      </c>
      <c r="Y24" s="7"/>
      <c r="Z24" s="7">
        <v>0</v>
      </c>
      <c r="AA24" s="7">
        <v>0</v>
      </c>
      <c r="AB24" s="35">
        <v>0</v>
      </c>
      <c r="AD24" s="7"/>
      <c r="AE24" s="35">
        <v>0</v>
      </c>
      <c r="AF24" s="15"/>
      <c r="AG24" s="7">
        <v>7073</v>
      </c>
      <c r="AH24" s="7">
        <v>402</v>
      </c>
      <c r="AI24" s="7">
        <v>6671</v>
      </c>
    </row>
    <row r="25" spans="1:35" x14ac:dyDescent="0.35">
      <c r="A25" s="337" t="s">
        <v>371</v>
      </c>
      <c r="B25" s="174">
        <f t="shared" ref="B25:AI25" si="11">SUM(B26:B27)</f>
        <v>0</v>
      </c>
      <c r="C25" s="108">
        <f t="shared" si="11"/>
        <v>0</v>
      </c>
      <c r="D25" s="108">
        <f t="shared" si="11"/>
        <v>0</v>
      </c>
      <c r="E25" s="108">
        <f t="shared" si="11"/>
        <v>0</v>
      </c>
      <c r="F25" s="108">
        <f t="shared" si="11"/>
        <v>0</v>
      </c>
      <c r="G25" s="111">
        <f t="shared" si="11"/>
        <v>0</v>
      </c>
      <c r="H25" s="174">
        <f t="shared" si="11"/>
        <v>0</v>
      </c>
      <c r="I25" s="108">
        <f t="shared" si="11"/>
        <v>0</v>
      </c>
      <c r="J25" s="108">
        <f t="shared" si="11"/>
        <v>0</v>
      </c>
      <c r="K25" s="108">
        <f t="shared" si="11"/>
        <v>0</v>
      </c>
      <c r="L25" s="108">
        <f t="shared" si="11"/>
        <v>0</v>
      </c>
      <c r="M25" s="108">
        <f t="shared" si="11"/>
        <v>0</v>
      </c>
      <c r="N25" s="108">
        <f t="shared" si="11"/>
        <v>0</v>
      </c>
      <c r="O25" s="111">
        <f t="shared" si="11"/>
        <v>0</v>
      </c>
      <c r="P25" s="7">
        <f t="shared" si="11"/>
        <v>86</v>
      </c>
      <c r="Q25" s="7">
        <f t="shared" si="11"/>
        <v>10</v>
      </c>
      <c r="R25" s="7">
        <f t="shared" si="11"/>
        <v>115</v>
      </c>
      <c r="S25" s="35">
        <f t="shared" si="11"/>
        <v>0</v>
      </c>
      <c r="T25" s="7">
        <f t="shared" si="11"/>
        <v>6</v>
      </c>
      <c r="U25" s="7">
        <f t="shared" si="11"/>
        <v>0</v>
      </c>
      <c r="V25" s="7">
        <f t="shared" si="11"/>
        <v>0</v>
      </c>
      <c r="W25" s="7">
        <f t="shared" si="11"/>
        <v>2</v>
      </c>
      <c r="X25" s="7">
        <f t="shared" si="11"/>
        <v>1</v>
      </c>
      <c r="Y25" s="7">
        <f t="shared" si="11"/>
        <v>0</v>
      </c>
      <c r="Z25" s="7">
        <f t="shared" si="11"/>
        <v>5</v>
      </c>
      <c r="AA25" s="7">
        <f t="shared" si="11"/>
        <v>0</v>
      </c>
      <c r="AB25" s="35">
        <f t="shared" si="11"/>
        <v>0</v>
      </c>
      <c r="AC25" s="6">
        <f t="shared" si="11"/>
        <v>0</v>
      </c>
      <c r="AD25" s="7">
        <f t="shared" si="11"/>
        <v>20</v>
      </c>
      <c r="AE25" s="35">
        <f t="shared" si="11"/>
        <v>0</v>
      </c>
      <c r="AF25" s="15">
        <f t="shared" si="11"/>
        <v>0</v>
      </c>
      <c r="AG25" s="7">
        <f t="shared" si="11"/>
        <v>119</v>
      </c>
      <c r="AH25" s="7">
        <f t="shared" si="11"/>
        <v>0</v>
      </c>
      <c r="AI25" s="7">
        <f t="shared" si="11"/>
        <v>119</v>
      </c>
    </row>
    <row r="26" spans="1:35" x14ac:dyDescent="0.35">
      <c r="A26" s="338" t="s">
        <v>372</v>
      </c>
      <c r="B26" s="252"/>
      <c r="C26" s="107"/>
      <c r="D26" s="107"/>
      <c r="E26" s="253"/>
      <c r="F26" s="107"/>
      <c r="G26" s="113"/>
      <c r="H26" s="252"/>
      <c r="I26" s="253"/>
      <c r="J26" s="253"/>
      <c r="K26" s="253"/>
      <c r="L26" s="253"/>
      <c r="M26" s="253"/>
      <c r="N26" s="253"/>
      <c r="O26" s="254"/>
      <c r="P26" s="20">
        <v>86</v>
      </c>
      <c r="Q26" s="20">
        <v>10</v>
      </c>
      <c r="R26" s="20">
        <v>111</v>
      </c>
      <c r="S26" s="36">
        <v>0</v>
      </c>
      <c r="T26" s="20">
        <v>6</v>
      </c>
      <c r="U26" s="20">
        <v>0</v>
      </c>
      <c r="V26" s="20">
        <v>0</v>
      </c>
      <c r="W26" s="20">
        <v>2</v>
      </c>
      <c r="X26" s="20">
        <v>1</v>
      </c>
      <c r="Y26" s="20"/>
      <c r="Z26" s="20">
        <v>5</v>
      </c>
      <c r="AA26" s="20">
        <v>0</v>
      </c>
      <c r="AB26" s="36">
        <v>0</v>
      </c>
      <c r="AC26" s="29"/>
      <c r="AD26" s="20">
        <v>20</v>
      </c>
      <c r="AE26" s="36">
        <v>0</v>
      </c>
      <c r="AF26" s="21"/>
      <c r="AG26" s="20">
        <v>76</v>
      </c>
      <c r="AH26" s="20">
        <v>0</v>
      </c>
      <c r="AI26" s="20">
        <v>76</v>
      </c>
    </row>
    <row r="27" spans="1:35" x14ac:dyDescent="0.35">
      <c r="A27" s="338" t="s">
        <v>373</v>
      </c>
      <c r="B27" s="252"/>
      <c r="C27" s="107"/>
      <c r="D27" s="107"/>
      <c r="E27" s="253"/>
      <c r="F27" s="107"/>
      <c r="G27" s="113"/>
      <c r="H27" s="252"/>
      <c r="I27" s="253"/>
      <c r="J27" s="253"/>
      <c r="K27" s="253"/>
      <c r="L27" s="253"/>
      <c r="M27" s="253"/>
      <c r="N27" s="253"/>
      <c r="O27" s="254"/>
      <c r="P27" s="7">
        <v>0</v>
      </c>
      <c r="Q27" s="7">
        <v>0</v>
      </c>
      <c r="R27" s="7">
        <v>4</v>
      </c>
      <c r="S27" s="35">
        <v>0</v>
      </c>
      <c r="T27" s="7">
        <v>0</v>
      </c>
      <c r="U27" s="7"/>
      <c r="V27" s="7">
        <v>0</v>
      </c>
      <c r="W27" s="7">
        <v>0</v>
      </c>
      <c r="X27" s="7">
        <v>0</v>
      </c>
      <c r="Y27" s="7"/>
      <c r="Z27" s="7">
        <v>0</v>
      </c>
      <c r="AA27" s="7">
        <v>0</v>
      </c>
      <c r="AB27" s="35">
        <v>0</v>
      </c>
      <c r="AD27" s="7">
        <v>0</v>
      </c>
      <c r="AE27" s="35"/>
      <c r="AF27" s="15"/>
      <c r="AG27" s="7">
        <v>43</v>
      </c>
      <c r="AH27" s="7">
        <v>0</v>
      </c>
      <c r="AI27" s="7">
        <v>43</v>
      </c>
    </row>
    <row r="28" spans="1:35" x14ac:dyDescent="0.35">
      <c r="A28" s="337" t="s">
        <v>374</v>
      </c>
      <c r="B28" s="174">
        <f t="shared" ref="B28:AI28" si="12">B29</f>
        <v>0</v>
      </c>
      <c r="C28" s="108">
        <f t="shared" si="12"/>
        <v>0</v>
      </c>
      <c r="D28" s="108">
        <f t="shared" si="12"/>
        <v>0</v>
      </c>
      <c r="E28" s="108">
        <f t="shared" si="12"/>
        <v>0</v>
      </c>
      <c r="F28" s="108">
        <f t="shared" si="12"/>
        <v>0</v>
      </c>
      <c r="G28" s="111">
        <f t="shared" si="12"/>
        <v>0</v>
      </c>
      <c r="H28" s="174">
        <f t="shared" si="12"/>
        <v>0</v>
      </c>
      <c r="I28" s="108">
        <f t="shared" si="12"/>
        <v>0</v>
      </c>
      <c r="J28" s="108">
        <f t="shared" si="12"/>
        <v>0</v>
      </c>
      <c r="K28" s="108">
        <f t="shared" si="12"/>
        <v>0</v>
      </c>
      <c r="L28" s="108">
        <f t="shared" si="12"/>
        <v>0</v>
      </c>
      <c r="M28" s="108">
        <f t="shared" si="12"/>
        <v>0</v>
      </c>
      <c r="N28" s="108">
        <f t="shared" si="12"/>
        <v>0</v>
      </c>
      <c r="O28" s="111">
        <f t="shared" si="12"/>
        <v>0</v>
      </c>
      <c r="P28" s="7">
        <f t="shared" si="12"/>
        <v>1318</v>
      </c>
      <c r="Q28" s="7">
        <f t="shared" si="12"/>
        <v>437</v>
      </c>
      <c r="R28" s="7">
        <f t="shared" si="12"/>
        <v>565</v>
      </c>
      <c r="S28" s="35">
        <f t="shared" si="12"/>
        <v>79</v>
      </c>
      <c r="T28" s="7">
        <f t="shared" si="12"/>
        <v>0</v>
      </c>
      <c r="U28" s="7">
        <f t="shared" si="12"/>
        <v>0</v>
      </c>
      <c r="V28" s="7">
        <f t="shared" si="12"/>
        <v>25</v>
      </c>
      <c r="W28" s="7">
        <f t="shared" si="12"/>
        <v>204</v>
      </c>
      <c r="X28" s="7">
        <f t="shared" si="12"/>
        <v>256</v>
      </c>
      <c r="Y28" s="7">
        <f t="shared" si="12"/>
        <v>0</v>
      </c>
      <c r="Z28" s="7">
        <f t="shared" si="12"/>
        <v>231</v>
      </c>
      <c r="AA28" s="7">
        <f t="shared" si="12"/>
        <v>4</v>
      </c>
      <c r="AB28" s="35">
        <f t="shared" si="12"/>
        <v>2</v>
      </c>
      <c r="AC28" s="6">
        <f t="shared" si="12"/>
        <v>0</v>
      </c>
      <c r="AD28" s="7">
        <f t="shared" si="12"/>
        <v>0</v>
      </c>
      <c r="AE28" s="35">
        <f t="shared" si="12"/>
        <v>0</v>
      </c>
      <c r="AF28" s="15">
        <f t="shared" si="12"/>
        <v>0</v>
      </c>
      <c r="AG28" s="7">
        <f t="shared" si="12"/>
        <v>106870.41</v>
      </c>
      <c r="AH28" s="7">
        <f t="shared" si="12"/>
        <v>52692.31</v>
      </c>
      <c r="AI28" s="7">
        <f t="shared" si="12"/>
        <v>63437.38</v>
      </c>
    </row>
    <row r="29" spans="1:35" x14ac:dyDescent="0.35">
      <c r="A29" s="338" t="s">
        <v>375</v>
      </c>
      <c r="B29" s="252"/>
      <c r="C29" s="107"/>
      <c r="D29" s="107"/>
      <c r="E29" s="253"/>
      <c r="F29" s="107"/>
      <c r="G29" s="113"/>
      <c r="H29" s="252"/>
      <c r="I29" s="253"/>
      <c r="J29" s="253"/>
      <c r="K29" s="253"/>
      <c r="L29" s="253"/>
      <c r="M29" s="253"/>
      <c r="N29" s="253"/>
      <c r="O29" s="254"/>
      <c r="P29" s="7">
        <v>1318</v>
      </c>
      <c r="Q29" s="7">
        <v>437</v>
      </c>
      <c r="R29" s="7">
        <v>565</v>
      </c>
      <c r="S29" s="35">
        <v>79</v>
      </c>
      <c r="T29" s="7">
        <v>0</v>
      </c>
      <c r="U29" s="7"/>
      <c r="V29" s="7">
        <v>25</v>
      </c>
      <c r="W29" s="7">
        <v>204</v>
      </c>
      <c r="X29" s="7">
        <v>256</v>
      </c>
      <c r="Y29" s="7"/>
      <c r="Z29" s="7">
        <v>231</v>
      </c>
      <c r="AA29" s="7">
        <v>4</v>
      </c>
      <c r="AB29" s="35">
        <v>2</v>
      </c>
      <c r="AD29" s="7"/>
      <c r="AE29" s="35">
        <v>0</v>
      </c>
      <c r="AF29" s="15"/>
      <c r="AG29" s="7">
        <v>106870.41</v>
      </c>
      <c r="AH29" s="7">
        <v>52692.31</v>
      </c>
      <c r="AI29" s="7">
        <v>63437.38</v>
      </c>
    </row>
    <row r="30" spans="1:35" x14ac:dyDescent="0.35">
      <c r="A30" s="337" t="s">
        <v>376</v>
      </c>
      <c r="B30" s="174">
        <f t="shared" ref="B30:AI30" si="13">SUM(B31:B32)</f>
        <v>0</v>
      </c>
      <c r="C30" s="108">
        <f t="shared" si="13"/>
        <v>0</v>
      </c>
      <c r="D30" s="108">
        <f t="shared" si="13"/>
        <v>0</v>
      </c>
      <c r="E30" s="108">
        <f t="shared" si="13"/>
        <v>0</v>
      </c>
      <c r="F30" s="108">
        <f t="shared" si="13"/>
        <v>0</v>
      </c>
      <c r="G30" s="111">
        <f t="shared" si="13"/>
        <v>0</v>
      </c>
      <c r="H30" s="174">
        <f t="shared" si="13"/>
        <v>0</v>
      </c>
      <c r="I30" s="108">
        <f t="shared" si="13"/>
        <v>0</v>
      </c>
      <c r="J30" s="108">
        <f t="shared" si="13"/>
        <v>0</v>
      </c>
      <c r="K30" s="108">
        <f t="shared" si="13"/>
        <v>0</v>
      </c>
      <c r="L30" s="108">
        <f t="shared" si="13"/>
        <v>0</v>
      </c>
      <c r="M30" s="108">
        <f t="shared" si="13"/>
        <v>0</v>
      </c>
      <c r="N30" s="108">
        <f t="shared" si="13"/>
        <v>0</v>
      </c>
      <c r="O30" s="111">
        <f t="shared" si="13"/>
        <v>0</v>
      </c>
      <c r="P30" s="7">
        <f t="shared" si="13"/>
        <v>255</v>
      </c>
      <c r="Q30" s="7">
        <f t="shared" si="13"/>
        <v>208</v>
      </c>
      <c r="R30" s="7">
        <f t="shared" si="13"/>
        <v>161</v>
      </c>
      <c r="S30" s="35">
        <f t="shared" si="13"/>
        <v>0</v>
      </c>
      <c r="T30" s="7">
        <f t="shared" si="13"/>
        <v>57</v>
      </c>
      <c r="U30" s="7">
        <f t="shared" si="13"/>
        <v>0</v>
      </c>
      <c r="V30" s="7">
        <f t="shared" si="13"/>
        <v>70</v>
      </c>
      <c r="W30" s="7">
        <f t="shared" si="13"/>
        <v>858</v>
      </c>
      <c r="X30" s="7">
        <f t="shared" si="13"/>
        <v>79</v>
      </c>
      <c r="Y30" s="7">
        <f t="shared" si="13"/>
        <v>0</v>
      </c>
      <c r="Z30" s="7">
        <f t="shared" si="13"/>
        <v>32</v>
      </c>
      <c r="AA30" s="7">
        <f t="shared" si="13"/>
        <v>7</v>
      </c>
      <c r="AB30" s="35">
        <f t="shared" si="13"/>
        <v>0</v>
      </c>
      <c r="AC30" s="6">
        <f t="shared" si="13"/>
        <v>0</v>
      </c>
      <c r="AD30" s="7">
        <f t="shared" si="13"/>
        <v>287</v>
      </c>
      <c r="AE30" s="35">
        <f t="shared" si="13"/>
        <v>0</v>
      </c>
      <c r="AF30" s="15">
        <f t="shared" si="13"/>
        <v>0</v>
      </c>
      <c r="AG30" s="7">
        <f t="shared" si="13"/>
        <v>52934</v>
      </c>
      <c r="AH30" s="7">
        <f t="shared" si="13"/>
        <v>54450</v>
      </c>
      <c r="AI30" s="7">
        <f t="shared" si="13"/>
        <v>49899.5</v>
      </c>
    </row>
    <row r="31" spans="1:35" x14ac:dyDescent="0.35">
      <c r="A31" s="338" t="s">
        <v>377</v>
      </c>
      <c r="B31" s="252"/>
      <c r="C31" s="107"/>
      <c r="D31" s="107"/>
      <c r="E31" s="253"/>
      <c r="F31" s="107"/>
      <c r="G31" s="113"/>
      <c r="H31" s="252"/>
      <c r="I31" s="253"/>
      <c r="J31" s="253"/>
      <c r="K31" s="253"/>
      <c r="L31" s="253"/>
      <c r="M31" s="253"/>
      <c r="N31" s="253"/>
      <c r="O31" s="254"/>
      <c r="P31" s="7">
        <v>143</v>
      </c>
      <c r="Q31" s="7">
        <v>117</v>
      </c>
      <c r="R31" s="7">
        <v>90</v>
      </c>
      <c r="S31" s="35">
        <v>0</v>
      </c>
      <c r="T31" s="7">
        <v>57</v>
      </c>
      <c r="U31" s="7">
        <v>0</v>
      </c>
      <c r="V31" s="7">
        <v>36</v>
      </c>
      <c r="W31" s="7">
        <v>590</v>
      </c>
      <c r="X31" s="7">
        <v>58</v>
      </c>
      <c r="Y31" s="7"/>
      <c r="Z31" s="7">
        <v>16</v>
      </c>
      <c r="AA31" s="7">
        <v>7</v>
      </c>
      <c r="AB31" s="35">
        <v>0</v>
      </c>
      <c r="AD31" s="7">
        <v>188</v>
      </c>
      <c r="AE31" s="35">
        <v>0</v>
      </c>
      <c r="AF31" s="15"/>
      <c r="AG31" s="7">
        <v>46890</v>
      </c>
      <c r="AH31" s="7">
        <v>46826</v>
      </c>
      <c r="AI31" s="7">
        <v>31668.5</v>
      </c>
    </row>
    <row r="32" spans="1:35" x14ac:dyDescent="0.35">
      <c r="A32" s="338" t="s">
        <v>378</v>
      </c>
      <c r="B32" s="252"/>
      <c r="C32" s="107"/>
      <c r="D32" s="107"/>
      <c r="E32" s="253"/>
      <c r="F32" s="107"/>
      <c r="G32" s="113"/>
      <c r="H32" s="252"/>
      <c r="I32" s="253"/>
      <c r="J32" s="253"/>
      <c r="K32" s="253"/>
      <c r="L32" s="253"/>
      <c r="M32" s="253"/>
      <c r="N32" s="253"/>
      <c r="O32" s="254"/>
      <c r="P32" s="7">
        <v>112</v>
      </c>
      <c r="Q32" s="7">
        <v>91</v>
      </c>
      <c r="R32" s="7">
        <v>71</v>
      </c>
      <c r="S32" s="35">
        <v>0</v>
      </c>
      <c r="T32" s="7">
        <v>0</v>
      </c>
      <c r="U32" s="7"/>
      <c r="V32" s="7">
        <v>34</v>
      </c>
      <c r="W32" s="7">
        <v>268</v>
      </c>
      <c r="X32" s="7">
        <v>21</v>
      </c>
      <c r="Y32" s="7"/>
      <c r="Z32" s="7">
        <v>16</v>
      </c>
      <c r="AA32" s="7">
        <v>0</v>
      </c>
      <c r="AB32" s="35">
        <v>0</v>
      </c>
      <c r="AD32" s="7">
        <v>99</v>
      </c>
      <c r="AE32" s="35">
        <v>0</v>
      </c>
      <c r="AF32" s="15"/>
      <c r="AG32" s="7">
        <v>6044</v>
      </c>
      <c r="AH32" s="7">
        <v>7624</v>
      </c>
      <c r="AI32" s="7">
        <v>18231</v>
      </c>
    </row>
    <row r="33" spans="1:35" x14ac:dyDescent="0.35">
      <c r="A33" s="337" t="s">
        <v>379</v>
      </c>
      <c r="B33" s="174">
        <f>B34</f>
        <v>0</v>
      </c>
      <c r="C33" s="108">
        <f t="shared" ref="C33:O33" si="14">C34</f>
        <v>0</v>
      </c>
      <c r="D33" s="108">
        <f t="shared" si="14"/>
        <v>0</v>
      </c>
      <c r="E33" s="108">
        <f t="shared" si="14"/>
        <v>0</v>
      </c>
      <c r="F33" s="108">
        <f t="shared" si="14"/>
        <v>0</v>
      </c>
      <c r="G33" s="111">
        <f t="shared" si="14"/>
        <v>0</v>
      </c>
      <c r="H33" s="174">
        <f t="shared" si="14"/>
        <v>0</v>
      </c>
      <c r="I33" s="108">
        <f t="shared" si="14"/>
        <v>0</v>
      </c>
      <c r="J33" s="108">
        <f t="shared" si="14"/>
        <v>0</v>
      </c>
      <c r="K33" s="108">
        <f t="shared" si="14"/>
        <v>0</v>
      </c>
      <c r="L33" s="108">
        <f t="shared" si="14"/>
        <v>0</v>
      </c>
      <c r="M33" s="108">
        <f t="shared" si="14"/>
        <v>0</v>
      </c>
      <c r="N33" s="108">
        <f t="shared" si="14"/>
        <v>0</v>
      </c>
      <c r="O33" s="111">
        <f t="shared" si="14"/>
        <v>0</v>
      </c>
      <c r="P33" s="7">
        <f t="shared" ref="P33:AI33" si="15">P34</f>
        <v>893</v>
      </c>
      <c r="Q33" s="7">
        <f t="shared" si="15"/>
        <v>0</v>
      </c>
      <c r="R33" s="7">
        <f t="shared" si="15"/>
        <v>137</v>
      </c>
      <c r="S33" s="35">
        <f t="shared" si="15"/>
        <v>64</v>
      </c>
      <c r="T33" s="7">
        <f t="shared" si="15"/>
        <v>0</v>
      </c>
      <c r="U33" s="7">
        <f t="shared" si="15"/>
        <v>0</v>
      </c>
      <c r="V33" s="7">
        <f t="shared" si="15"/>
        <v>9</v>
      </c>
      <c r="W33" s="7">
        <f t="shared" si="15"/>
        <v>12</v>
      </c>
      <c r="X33" s="7">
        <f t="shared" si="15"/>
        <v>33</v>
      </c>
      <c r="Y33" s="7">
        <f t="shared" si="15"/>
        <v>0</v>
      </c>
      <c r="Z33" s="7">
        <f t="shared" si="15"/>
        <v>358</v>
      </c>
      <c r="AA33" s="7">
        <f t="shared" si="15"/>
        <v>3</v>
      </c>
      <c r="AB33" s="35">
        <f t="shared" si="15"/>
        <v>1</v>
      </c>
      <c r="AC33" s="6">
        <f t="shared" si="15"/>
        <v>0</v>
      </c>
      <c r="AD33" s="7">
        <f t="shared" si="15"/>
        <v>1606</v>
      </c>
      <c r="AE33" s="35">
        <f t="shared" si="15"/>
        <v>0</v>
      </c>
      <c r="AF33" s="15">
        <f t="shared" si="15"/>
        <v>0</v>
      </c>
      <c r="AG33" s="7">
        <f t="shared" si="15"/>
        <v>165372</v>
      </c>
      <c r="AH33" s="7">
        <f t="shared" si="15"/>
        <v>22527</v>
      </c>
      <c r="AI33" s="7">
        <f t="shared" si="15"/>
        <v>9308</v>
      </c>
    </row>
    <row r="34" spans="1:35" x14ac:dyDescent="0.35">
      <c r="A34" s="338" t="s">
        <v>380</v>
      </c>
      <c r="B34" s="252"/>
      <c r="C34" s="107"/>
      <c r="D34" s="107"/>
      <c r="E34" s="253"/>
      <c r="F34" s="107"/>
      <c r="G34" s="113"/>
      <c r="H34" s="252"/>
      <c r="I34" s="253"/>
      <c r="J34" s="253"/>
      <c r="K34" s="253"/>
      <c r="L34" s="253"/>
      <c r="M34" s="253"/>
      <c r="N34" s="253"/>
      <c r="O34" s="254"/>
      <c r="P34" s="7">
        <v>893</v>
      </c>
      <c r="Q34" s="7">
        <v>0</v>
      </c>
      <c r="R34" s="7">
        <v>137</v>
      </c>
      <c r="S34" s="35">
        <v>64</v>
      </c>
      <c r="T34" s="7">
        <v>0</v>
      </c>
      <c r="U34" s="7">
        <v>0</v>
      </c>
      <c r="V34" s="7">
        <v>9</v>
      </c>
      <c r="W34" s="7">
        <v>12</v>
      </c>
      <c r="X34" s="7">
        <v>33</v>
      </c>
      <c r="Y34" s="7">
        <v>0</v>
      </c>
      <c r="Z34" s="7">
        <v>358</v>
      </c>
      <c r="AA34" s="7">
        <v>3</v>
      </c>
      <c r="AB34" s="35">
        <v>1</v>
      </c>
      <c r="AD34" s="7">
        <v>1606</v>
      </c>
      <c r="AE34" s="35">
        <v>0</v>
      </c>
      <c r="AF34" s="15"/>
      <c r="AG34" s="7">
        <v>165372</v>
      </c>
      <c r="AH34" s="7">
        <v>22527</v>
      </c>
      <c r="AI34" s="7">
        <v>9308</v>
      </c>
    </row>
    <row r="35" spans="1:35" s="13" customFormat="1" x14ac:dyDescent="0.35">
      <c r="A35" s="336" t="s">
        <v>381</v>
      </c>
      <c r="B35" s="172">
        <f t="shared" ref="B35:AI35" si="16">B36+B43</f>
        <v>0</v>
      </c>
      <c r="C35" s="104">
        <f t="shared" si="16"/>
        <v>0</v>
      </c>
      <c r="D35" s="104">
        <f t="shared" si="16"/>
        <v>0</v>
      </c>
      <c r="E35" s="104">
        <f t="shared" si="16"/>
        <v>0</v>
      </c>
      <c r="F35" s="104">
        <f t="shared" si="16"/>
        <v>0</v>
      </c>
      <c r="G35" s="114">
        <f t="shared" si="16"/>
        <v>0</v>
      </c>
      <c r="H35" s="172">
        <f t="shared" si="16"/>
        <v>0</v>
      </c>
      <c r="I35" s="104">
        <f t="shared" si="16"/>
        <v>0</v>
      </c>
      <c r="J35" s="104">
        <f t="shared" si="16"/>
        <v>0</v>
      </c>
      <c r="K35" s="104">
        <f t="shared" si="16"/>
        <v>0</v>
      </c>
      <c r="L35" s="104">
        <f t="shared" si="16"/>
        <v>0</v>
      </c>
      <c r="M35" s="104">
        <f t="shared" si="16"/>
        <v>0</v>
      </c>
      <c r="N35" s="104">
        <f t="shared" si="16"/>
        <v>0</v>
      </c>
      <c r="O35" s="114">
        <f>O36+O43</f>
        <v>0</v>
      </c>
      <c r="P35" s="15">
        <f t="shared" si="16"/>
        <v>0</v>
      </c>
      <c r="Q35" s="15">
        <f t="shared" si="16"/>
        <v>0</v>
      </c>
      <c r="R35" s="15">
        <f t="shared" si="16"/>
        <v>0</v>
      </c>
      <c r="S35" s="97">
        <f t="shared" si="16"/>
        <v>0</v>
      </c>
      <c r="T35" s="15" t="e">
        <f t="shared" si="16"/>
        <v>#REF!</v>
      </c>
      <c r="U35" s="15" t="e">
        <f t="shared" si="16"/>
        <v>#REF!</v>
      </c>
      <c r="V35" s="15" t="e">
        <f t="shared" si="16"/>
        <v>#REF!</v>
      </c>
      <c r="W35" s="15" t="e">
        <f t="shared" si="16"/>
        <v>#REF!</v>
      </c>
      <c r="X35" s="15" t="e">
        <f t="shared" si="16"/>
        <v>#REF!</v>
      </c>
      <c r="Y35" s="15">
        <f t="shared" si="16"/>
        <v>0</v>
      </c>
      <c r="Z35" s="15">
        <f t="shared" si="16"/>
        <v>57</v>
      </c>
      <c r="AA35" s="15">
        <f t="shared" si="16"/>
        <v>3</v>
      </c>
      <c r="AB35" s="97">
        <f t="shared" si="16"/>
        <v>2</v>
      </c>
      <c r="AC35" s="140">
        <f t="shared" si="16"/>
        <v>0</v>
      </c>
      <c r="AD35" s="15">
        <f t="shared" si="16"/>
        <v>0</v>
      </c>
      <c r="AE35" s="97">
        <f t="shared" si="16"/>
        <v>0</v>
      </c>
      <c r="AF35" s="15">
        <f t="shared" si="16"/>
        <v>0</v>
      </c>
      <c r="AG35" s="15">
        <f t="shared" si="16"/>
        <v>0</v>
      </c>
      <c r="AH35" s="15">
        <f t="shared" si="16"/>
        <v>0</v>
      </c>
      <c r="AI35" s="15">
        <f t="shared" si="16"/>
        <v>0</v>
      </c>
    </row>
    <row r="36" spans="1:35" x14ac:dyDescent="0.35">
      <c r="A36" s="337" t="s">
        <v>382</v>
      </c>
      <c r="B36" s="174">
        <f t="shared" ref="B36:O36" si="17">B38+B39+B37</f>
        <v>0</v>
      </c>
      <c r="C36" s="108">
        <f t="shared" si="17"/>
        <v>0</v>
      </c>
      <c r="D36" s="108">
        <f t="shared" si="17"/>
        <v>0</v>
      </c>
      <c r="E36" s="108">
        <f t="shared" si="17"/>
        <v>0</v>
      </c>
      <c r="F36" s="108">
        <f t="shared" si="17"/>
        <v>0</v>
      </c>
      <c r="G36" s="111">
        <f t="shared" si="17"/>
        <v>0</v>
      </c>
      <c r="H36" s="174">
        <f t="shared" si="17"/>
        <v>0</v>
      </c>
      <c r="I36" s="108">
        <f t="shared" si="17"/>
        <v>0</v>
      </c>
      <c r="J36" s="108">
        <f t="shared" si="17"/>
        <v>0</v>
      </c>
      <c r="K36" s="108">
        <f t="shared" si="17"/>
        <v>0</v>
      </c>
      <c r="L36" s="108">
        <f t="shared" si="17"/>
        <v>0</v>
      </c>
      <c r="M36" s="108">
        <f t="shared" si="17"/>
        <v>0</v>
      </c>
      <c r="N36" s="108">
        <f t="shared" si="17"/>
        <v>0</v>
      </c>
      <c r="O36" s="111">
        <f t="shared" si="17"/>
        <v>0</v>
      </c>
      <c r="P36" s="7">
        <f t="shared" ref="P36:AI36" si="18">P38+P39</f>
        <v>0</v>
      </c>
      <c r="Q36" s="7">
        <f t="shared" si="18"/>
        <v>0</v>
      </c>
      <c r="R36" s="7">
        <f t="shared" si="18"/>
        <v>0</v>
      </c>
      <c r="S36" s="35">
        <f t="shared" si="18"/>
        <v>0</v>
      </c>
      <c r="T36" s="7">
        <f t="shared" si="18"/>
        <v>0</v>
      </c>
      <c r="U36" s="7">
        <f t="shared" si="18"/>
        <v>0</v>
      </c>
      <c r="V36" s="7">
        <f t="shared" si="18"/>
        <v>209</v>
      </c>
      <c r="W36" s="7">
        <f t="shared" si="18"/>
        <v>26</v>
      </c>
      <c r="X36" s="7">
        <f t="shared" si="18"/>
        <v>106</v>
      </c>
      <c r="Y36" s="7">
        <f t="shared" si="18"/>
        <v>0</v>
      </c>
      <c r="Z36" s="7">
        <f t="shared" si="18"/>
        <v>57</v>
      </c>
      <c r="AA36" s="7">
        <f t="shared" si="18"/>
        <v>3</v>
      </c>
      <c r="AB36" s="35">
        <f t="shared" si="18"/>
        <v>2</v>
      </c>
      <c r="AC36" s="6">
        <f t="shared" si="18"/>
        <v>0</v>
      </c>
      <c r="AD36" s="7">
        <f t="shared" si="18"/>
        <v>0</v>
      </c>
      <c r="AE36" s="35">
        <f t="shared" si="18"/>
        <v>0</v>
      </c>
      <c r="AF36" s="15">
        <f t="shared" si="18"/>
        <v>0</v>
      </c>
      <c r="AG36" s="7">
        <f t="shared" si="18"/>
        <v>0</v>
      </c>
      <c r="AH36" s="7">
        <f t="shared" si="18"/>
        <v>0</v>
      </c>
      <c r="AI36" s="7">
        <f t="shared" si="18"/>
        <v>0</v>
      </c>
    </row>
    <row r="37" spans="1:35" x14ac:dyDescent="0.35">
      <c r="A37" s="338" t="s">
        <v>632</v>
      </c>
      <c r="B37" s="252"/>
      <c r="C37" s="107"/>
      <c r="D37" s="107"/>
      <c r="E37" s="253"/>
      <c r="F37" s="107"/>
      <c r="G37" s="113"/>
      <c r="H37" s="252"/>
      <c r="I37" s="253"/>
      <c r="J37" s="253"/>
      <c r="K37" s="253"/>
      <c r="L37" s="253"/>
      <c r="M37" s="253"/>
      <c r="N37" s="253"/>
      <c r="O37" s="254"/>
      <c r="P37" s="7"/>
      <c r="Q37" s="7"/>
      <c r="R37" s="7"/>
      <c r="S37" s="35"/>
      <c r="T37" s="7"/>
      <c r="U37" s="7"/>
      <c r="V37" s="7"/>
      <c r="W37" s="7"/>
      <c r="X37" s="7"/>
      <c r="Y37" s="7"/>
      <c r="Z37" s="7"/>
      <c r="AA37" s="7"/>
      <c r="AB37" s="35"/>
      <c r="AD37" s="7"/>
      <c r="AE37" s="35"/>
      <c r="AF37" s="15"/>
      <c r="AG37" s="7"/>
      <c r="AH37" s="7"/>
      <c r="AI37" s="7"/>
    </row>
    <row r="38" spans="1:35" x14ac:dyDescent="0.35">
      <c r="A38" s="338" t="s">
        <v>383</v>
      </c>
      <c r="B38" s="252"/>
      <c r="C38" s="107"/>
      <c r="D38" s="107"/>
      <c r="E38" s="253"/>
      <c r="F38" s="107"/>
      <c r="G38" s="113"/>
      <c r="H38" s="252"/>
      <c r="I38" s="253"/>
      <c r="J38" s="253"/>
      <c r="K38" s="253"/>
      <c r="L38" s="253"/>
      <c r="M38" s="253"/>
      <c r="N38" s="253"/>
      <c r="O38" s="254"/>
      <c r="P38" s="16"/>
      <c r="Q38" s="16"/>
      <c r="R38" s="16"/>
      <c r="S38" s="37"/>
      <c r="T38" s="7">
        <v>0</v>
      </c>
      <c r="U38" s="7">
        <v>0</v>
      </c>
      <c r="V38" s="7">
        <v>209</v>
      </c>
      <c r="W38" s="7">
        <v>26</v>
      </c>
      <c r="X38" s="7">
        <v>106</v>
      </c>
      <c r="Y38" s="7"/>
      <c r="Z38" s="7">
        <v>57</v>
      </c>
      <c r="AA38" s="7">
        <v>3</v>
      </c>
      <c r="AB38" s="35">
        <v>2</v>
      </c>
      <c r="AD38" s="7"/>
      <c r="AE38" s="35">
        <v>0</v>
      </c>
      <c r="AF38" s="15"/>
      <c r="AG38" s="16"/>
      <c r="AH38" s="16"/>
      <c r="AI38" s="16"/>
    </row>
    <row r="39" spans="1:35" x14ac:dyDescent="0.35">
      <c r="A39" s="338" t="s">
        <v>373</v>
      </c>
      <c r="B39" s="252"/>
      <c r="C39" s="107"/>
      <c r="D39" s="107"/>
      <c r="E39" s="253"/>
      <c r="F39" s="107"/>
      <c r="G39" s="113"/>
      <c r="H39" s="252"/>
      <c r="I39" s="253"/>
      <c r="J39" s="253"/>
      <c r="K39" s="253"/>
      <c r="L39" s="253"/>
      <c r="M39" s="253"/>
      <c r="N39" s="253"/>
      <c r="O39" s="254"/>
      <c r="P39" s="7">
        <f t="shared" ref="P39:AI39" si="19">SUM(P40:P42)</f>
        <v>0</v>
      </c>
      <c r="Q39" s="7">
        <f t="shared" si="19"/>
        <v>0</v>
      </c>
      <c r="R39" s="7">
        <f t="shared" si="19"/>
        <v>0</v>
      </c>
      <c r="S39" s="35">
        <f t="shared" si="19"/>
        <v>0</v>
      </c>
      <c r="T39" s="7">
        <f t="shared" si="19"/>
        <v>0</v>
      </c>
      <c r="U39" s="7">
        <f t="shared" si="19"/>
        <v>0</v>
      </c>
      <c r="V39" s="7">
        <f t="shared" si="19"/>
        <v>0</v>
      </c>
      <c r="W39" s="7">
        <f t="shared" si="19"/>
        <v>0</v>
      </c>
      <c r="X39" s="7">
        <f t="shared" si="19"/>
        <v>0</v>
      </c>
      <c r="Y39" s="7">
        <f t="shared" si="19"/>
        <v>0</v>
      </c>
      <c r="Z39" s="7">
        <f t="shared" si="19"/>
        <v>0</v>
      </c>
      <c r="AA39" s="7">
        <f t="shared" si="19"/>
        <v>0</v>
      </c>
      <c r="AB39" s="35">
        <f t="shared" si="19"/>
        <v>0</v>
      </c>
      <c r="AC39" s="6">
        <f t="shared" si="19"/>
        <v>0</v>
      </c>
      <c r="AD39" s="7">
        <f t="shared" si="19"/>
        <v>0</v>
      </c>
      <c r="AE39" s="35">
        <f t="shared" si="19"/>
        <v>0</v>
      </c>
      <c r="AF39" s="15">
        <f t="shared" si="19"/>
        <v>0</v>
      </c>
      <c r="AG39" s="7">
        <f t="shared" si="19"/>
        <v>0</v>
      </c>
      <c r="AH39" s="7">
        <f t="shared" si="19"/>
        <v>0</v>
      </c>
      <c r="AI39" s="7">
        <f t="shared" si="19"/>
        <v>0</v>
      </c>
    </row>
    <row r="40" spans="1:35" x14ac:dyDescent="0.35">
      <c r="A40" s="338" t="s">
        <v>516</v>
      </c>
      <c r="B40" s="252"/>
      <c r="C40" s="107"/>
      <c r="D40" s="107"/>
      <c r="E40" s="253"/>
      <c r="F40" s="107"/>
      <c r="G40" s="113"/>
      <c r="H40" s="252"/>
      <c r="I40" s="253"/>
      <c r="J40" s="253"/>
      <c r="K40" s="253"/>
      <c r="L40" s="253"/>
      <c r="M40" s="253"/>
      <c r="N40" s="253"/>
      <c r="O40" s="254"/>
      <c r="P40" s="7"/>
      <c r="Q40" s="7"/>
      <c r="R40" s="7"/>
      <c r="S40" s="35"/>
      <c r="T40" s="7"/>
      <c r="U40" s="7"/>
      <c r="V40" s="7"/>
      <c r="W40" s="7"/>
      <c r="X40" s="7"/>
      <c r="Y40" s="7"/>
      <c r="Z40" s="7"/>
      <c r="AA40" s="7"/>
      <c r="AB40" s="35"/>
      <c r="AD40" s="7"/>
      <c r="AE40" s="35"/>
      <c r="AF40" s="15"/>
      <c r="AG40" s="7"/>
      <c r="AH40" s="7"/>
      <c r="AI40" s="7"/>
    </row>
    <row r="41" spans="1:35" x14ac:dyDescent="0.35">
      <c r="A41" s="338" t="s">
        <v>517</v>
      </c>
      <c r="B41" s="252"/>
      <c r="C41" s="107"/>
      <c r="D41" s="107"/>
      <c r="E41" s="253"/>
      <c r="F41" s="107"/>
      <c r="G41" s="113"/>
      <c r="H41" s="252"/>
      <c r="I41" s="253"/>
      <c r="J41" s="253"/>
      <c r="K41" s="253"/>
      <c r="L41" s="253"/>
      <c r="M41" s="253"/>
      <c r="N41" s="253"/>
      <c r="O41" s="254"/>
      <c r="P41" s="7"/>
      <c r="Q41" s="7"/>
      <c r="R41" s="7"/>
      <c r="S41" s="35"/>
      <c r="T41" s="7"/>
      <c r="U41" s="7"/>
      <c r="V41" s="7"/>
      <c r="W41" s="7"/>
      <c r="X41" s="7"/>
      <c r="Y41" s="7"/>
      <c r="Z41" s="7"/>
      <c r="AA41" s="7"/>
      <c r="AB41" s="35"/>
      <c r="AD41" s="7"/>
      <c r="AE41" s="35"/>
      <c r="AF41" s="15"/>
      <c r="AG41" s="7"/>
      <c r="AH41" s="7"/>
      <c r="AI41" s="7"/>
    </row>
    <row r="42" spans="1:35" x14ac:dyDescent="0.35">
      <c r="A42" s="338" t="s">
        <v>518</v>
      </c>
      <c r="B42" s="252"/>
      <c r="C42" s="107"/>
      <c r="D42" s="107"/>
      <c r="E42" s="253"/>
      <c r="F42" s="107"/>
      <c r="G42" s="113"/>
      <c r="H42" s="252"/>
      <c r="I42" s="253"/>
      <c r="J42" s="253"/>
      <c r="K42" s="253"/>
      <c r="L42" s="253"/>
      <c r="M42" s="253"/>
      <c r="N42" s="253"/>
      <c r="O42" s="254"/>
      <c r="P42" s="7"/>
      <c r="Q42" s="7"/>
      <c r="R42" s="7"/>
      <c r="S42" s="35"/>
      <c r="T42" s="7"/>
      <c r="U42" s="7"/>
      <c r="V42" s="7"/>
      <c r="W42" s="7"/>
      <c r="X42" s="7"/>
      <c r="Y42" s="7"/>
      <c r="Z42" s="7"/>
      <c r="AA42" s="7"/>
      <c r="AB42" s="35"/>
      <c r="AD42" s="7"/>
      <c r="AE42" s="35"/>
      <c r="AF42" s="15"/>
      <c r="AG42" s="7"/>
      <c r="AH42" s="7"/>
      <c r="AI42" s="7"/>
    </row>
    <row r="43" spans="1:35" x14ac:dyDescent="0.35">
      <c r="A43" s="337" t="s">
        <v>384</v>
      </c>
      <c r="B43" s="174">
        <f t="shared" ref="B43:AI43" si="20">B45+B46+B47</f>
        <v>0</v>
      </c>
      <c r="C43" s="108">
        <f t="shared" si="20"/>
        <v>0</v>
      </c>
      <c r="D43" s="108">
        <f t="shared" si="20"/>
        <v>0</v>
      </c>
      <c r="E43" s="108">
        <f t="shared" si="20"/>
        <v>0</v>
      </c>
      <c r="F43" s="108">
        <f t="shared" si="20"/>
        <v>0</v>
      </c>
      <c r="G43" s="111">
        <f t="shared" si="20"/>
        <v>0</v>
      </c>
      <c r="H43" s="174">
        <f>SUM(H44:H47)</f>
        <v>0</v>
      </c>
      <c r="I43" s="108">
        <f t="shared" si="20"/>
        <v>0</v>
      </c>
      <c r="J43" s="108">
        <f t="shared" si="20"/>
        <v>0</v>
      </c>
      <c r="K43" s="108">
        <f>SUM(K44:K47)</f>
        <v>0</v>
      </c>
      <c r="L43" s="108">
        <f t="shared" si="20"/>
        <v>0</v>
      </c>
      <c r="M43" s="108">
        <f t="shared" si="20"/>
        <v>0</v>
      </c>
      <c r="N43" s="108">
        <f t="shared" si="20"/>
        <v>0</v>
      </c>
      <c r="O43" s="111">
        <f t="shared" si="20"/>
        <v>0</v>
      </c>
      <c r="P43" s="7">
        <f t="shared" si="20"/>
        <v>0</v>
      </c>
      <c r="Q43" s="7">
        <f t="shared" si="20"/>
        <v>0</v>
      </c>
      <c r="R43" s="7">
        <f t="shared" si="20"/>
        <v>0</v>
      </c>
      <c r="S43" s="35">
        <f t="shared" si="20"/>
        <v>0</v>
      </c>
      <c r="T43" s="7" t="e">
        <f t="shared" si="20"/>
        <v>#REF!</v>
      </c>
      <c r="U43" s="7" t="e">
        <f t="shared" si="20"/>
        <v>#REF!</v>
      </c>
      <c r="V43" s="7" t="e">
        <f t="shared" si="20"/>
        <v>#REF!</v>
      </c>
      <c r="W43" s="7" t="e">
        <f t="shared" si="20"/>
        <v>#REF!</v>
      </c>
      <c r="X43" s="7" t="e">
        <f t="shared" si="20"/>
        <v>#REF!</v>
      </c>
      <c r="Y43" s="7">
        <f t="shared" si="20"/>
        <v>0</v>
      </c>
      <c r="Z43" s="7">
        <f t="shared" si="20"/>
        <v>0</v>
      </c>
      <c r="AA43" s="7">
        <f t="shared" si="20"/>
        <v>0</v>
      </c>
      <c r="AB43" s="35">
        <f t="shared" si="20"/>
        <v>0</v>
      </c>
      <c r="AC43" s="6">
        <f t="shared" si="20"/>
        <v>0</v>
      </c>
      <c r="AD43" s="7">
        <f t="shared" si="20"/>
        <v>0</v>
      </c>
      <c r="AE43" s="35">
        <f t="shared" si="20"/>
        <v>0</v>
      </c>
      <c r="AF43" s="15">
        <f t="shared" si="20"/>
        <v>0</v>
      </c>
      <c r="AG43" s="7">
        <f t="shared" si="20"/>
        <v>0</v>
      </c>
      <c r="AH43" s="7">
        <f t="shared" si="20"/>
        <v>0</v>
      </c>
      <c r="AI43" s="7">
        <f t="shared" si="20"/>
        <v>0</v>
      </c>
    </row>
    <row r="44" spans="1:35" x14ac:dyDescent="0.35">
      <c r="A44" s="338" t="s">
        <v>632</v>
      </c>
      <c r="B44" s="252"/>
      <c r="C44" s="107"/>
      <c r="D44" s="107"/>
      <c r="E44" s="253"/>
      <c r="F44" s="107"/>
      <c r="G44" s="113"/>
      <c r="H44" s="252"/>
      <c r="I44" s="253"/>
      <c r="J44" s="253"/>
      <c r="K44" s="253"/>
      <c r="L44" s="253"/>
      <c r="M44" s="253"/>
      <c r="N44" s="253"/>
      <c r="O44" s="254"/>
      <c r="P44" s="7"/>
      <c r="Q44" s="7"/>
      <c r="R44" s="7"/>
      <c r="S44" s="35"/>
      <c r="T44" s="7"/>
      <c r="U44" s="7"/>
      <c r="V44" s="7"/>
      <c r="W44" s="7"/>
      <c r="X44" s="7"/>
      <c r="Y44" s="7"/>
      <c r="Z44" s="7"/>
      <c r="AA44" s="7"/>
      <c r="AB44" s="35"/>
      <c r="AD44" s="7">
        <v>0</v>
      </c>
      <c r="AE44" s="35"/>
      <c r="AF44" s="15"/>
      <c r="AG44" s="7"/>
      <c r="AH44" s="7"/>
      <c r="AI44" s="7"/>
    </row>
    <row r="45" spans="1:35" x14ac:dyDescent="0.35">
      <c r="A45" s="338" t="s">
        <v>385</v>
      </c>
      <c r="B45" s="252"/>
      <c r="C45" s="107"/>
      <c r="D45" s="107"/>
      <c r="E45" s="253"/>
      <c r="F45" s="107"/>
      <c r="G45" s="113"/>
      <c r="H45" s="252"/>
      <c r="I45" s="253"/>
      <c r="J45" s="253"/>
      <c r="K45" s="253"/>
      <c r="L45" s="253"/>
      <c r="M45" s="253"/>
      <c r="N45" s="253"/>
      <c r="O45" s="254"/>
      <c r="P45" s="7"/>
      <c r="Q45" s="7"/>
      <c r="R45" s="7"/>
      <c r="S45" s="35"/>
      <c r="T45" s="7"/>
      <c r="U45" s="7"/>
      <c r="V45" s="7"/>
      <c r="W45" s="7"/>
      <c r="X45" s="7"/>
      <c r="Y45" s="7"/>
      <c r="Z45" s="7"/>
      <c r="AA45" s="7"/>
      <c r="AB45" s="35"/>
      <c r="AD45" s="7"/>
      <c r="AE45" s="35"/>
      <c r="AF45" s="15"/>
      <c r="AG45" s="7"/>
      <c r="AH45" s="7"/>
      <c r="AI45" s="7"/>
    </row>
    <row r="46" spans="1:35" x14ac:dyDescent="0.35">
      <c r="A46" s="338" t="s">
        <v>373</v>
      </c>
      <c r="B46" s="252"/>
      <c r="C46" s="107"/>
      <c r="D46" s="107"/>
      <c r="E46" s="253"/>
      <c r="F46" s="107"/>
      <c r="G46" s="113"/>
      <c r="H46" s="252"/>
      <c r="I46" s="253"/>
      <c r="J46" s="253"/>
      <c r="K46" s="253"/>
      <c r="L46" s="253"/>
      <c r="M46" s="253"/>
      <c r="N46" s="253"/>
      <c r="O46" s="254"/>
      <c r="P46" s="7"/>
      <c r="Q46" s="7"/>
      <c r="R46" s="7"/>
      <c r="S46" s="35"/>
      <c r="T46" s="7" t="e">
        <f>SUM(#REF!)</f>
        <v>#REF!</v>
      </c>
      <c r="U46" s="7" t="e">
        <f>SUM(#REF!)</f>
        <v>#REF!</v>
      </c>
      <c r="V46" s="7" t="e">
        <f>SUM(#REF!)</f>
        <v>#REF!</v>
      </c>
      <c r="W46" s="7" t="e">
        <f>SUM(#REF!)</f>
        <v>#REF!</v>
      </c>
      <c r="X46" s="7" t="e">
        <f>SUM(#REF!)</f>
        <v>#REF!</v>
      </c>
      <c r="Y46" s="7"/>
      <c r="Z46" s="7"/>
      <c r="AA46" s="7"/>
      <c r="AB46" s="35"/>
      <c r="AD46" s="7"/>
      <c r="AE46" s="35"/>
      <c r="AF46" s="15"/>
      <c r="AG46" s="7"/>
      <c r="AH46" s="7"/>
      <c r="AI46" s="7"/>
    </row>
    <row r="47" spans="1:35" x14ac:dyDescent="0.35">
      <c r="A47" s="341" t="s">
        <v>386</v>
      </c>
      <c r="B47" s="174"/>
      <c r="C47" s="108"/>
      <c r="D47" s="108"/>
      <c r="E47" s="108"/>
      <c r="F47" s="108"/>
      <c r="G47" s="111"/>
      <c r="H47" s="174"/>
      <c r="I47" s="108"/>
      <c r="J47" s="108"/>
      <c r="K47" s="108"/>
      <c r="L47" s="108"/>
      <c r="M47" s="108"/>
      <c r="N47" s="108"/>
      <c r="O47" s="111"/>
      <c r="P47" s="7">
        <f t="shared" ref="P47:AI47" si="21">SUM(P48:P53)</f>
        <v>0</v>
      </c>
      <c r="Q47" s="7">
        <f t="shared" si="21"/>
        <v>0</v>
      </c>
      <c r="R47" s="7">
        <f t="shared" si="21"/>
        <v>0</v>
      </c>
      <c r="S47" s="35">
        <f t="shared" si="21"/>
        <v>0</v>
      </c>
      <c r="T47" s="7">
        <f t="shared" si="21"/>
        <v>0</v>
      </c>
      <c r="U47" s="7">
        <f t="shared" si="21"/>
        <v>0</v>
      </c>
      <c r="V47" s="7">
        <f t="shared" si="21"/>
        <v>0</v>
      </c>
      <c r="W47" s="7">
        <f t="shared" si="21"/>
        <v>0</v>
      </c>
      <c r="X47" s="7">
        <f t="shared" si="21"/>
        <v>0</v>
      </c>
      <c r="Y47" s="7">
        <f t="shared" si="21"/>
        <v>0</v>
      </c>
      <c r="Z47" s="7">
        <f t="shared" si="21"/>
        <v>0</v>
      </c>
      <c r="AA47" s="7">
        <f t="shared" si="21"/>
        <v>0</v>
      </c>
      <c r="AB47" s="35">
        <f t="shared" si="21"/>
        <v>0</v>
      </c>
      <c r="AC47" s="6">
        <f t="shared" si="21"/>
        <v>0</v>
      </c>
      <c r="AD47" s="7">
        <f t="shared" si="21"/>
        <v>0</v>
      </c>
      <c r="AE47" s="35">
        <f t="shared" si="21"/>
        <v>0</v>
      </c>
      <c r="AF47" s="15">
        <f t="shared" si="21"/>
        <v>0</v>
      </c>
      <c r="AG47" s="7">
        <f t="shared" si="21"/>
        <v>0</v>
      </c>
      <c r="AH47" s="7">
        <f t="shared" si="21"/>
        <v>0</v>
      </c>
      <c r="AI47" s="7">
        <f t="shared" si="21"/>
        <v>0</v>
      </c>
    </row>
    <row r="48" spans="1:35" x14ac:dyDescent="0.35">
      <c r="A48" s="339" t="s">
        <v>574</v>
      </c>
      <c r="B48" s="252"/>
      <c r="C48" s="107"/>
      <c r="D48" s="107"/>
      <c r="E48" s="253"/>
      <c r="F48" s="107"/>
      <c r="G48" s="113"/>
      <c r="H48" s="252"/>
      <c r="I48" s="253"/>
      <c r="J48" s="253"/>
      <c r="K48" s="253"/>
      <c r="L48" s="253"/>
      <c r="M48" s="253"/>
      <c r="N48" s="253"/>
      <c r="O48" s="254"/>
      <c r="P48" s="7"/>
      <c r="Q48" s="7"/>
      <c r="R48" s="7"/>
      <c r="S48" s="35"/>
      <c r="T48" s="7"/>
      <c r="U48" s="7"/>
      <c r="V48" s="7"/>
      <c r="W48" s="7"/>
      <c r="X48" s="7"/>
      <c r="Y48" s="7"/>
      <c r="Z48" s="7"/>
      <c r="AA48" s="7"/>
      <c r="AB48" s="35"/>
      <c r="AD48" s="7"/>
      <c r="AE48" s="35"/>
      <c r="AF48" s="15"/>
      <c r="AG48" s="7"/>
      <c r="AH48" s="7"/>
      <c r="AI48" s="7"/>
    </row>
    <row r="49" spans="1:35" x14ac:dyDescent="0.35">
      <c r="A49" s="339" t="s">
        <v>389</v>
      </c>
      <c r="B49" s="252"/>
      <c r="C49" s="107"/>
      <c r="D49" s="107"/>
      <c r="E49" s="253"/>
      <c r="F49" s="107"/>
      <c r="G49" s="113"/>
      <c r="H49" s="252"/>
      <c r="I49" s="253"/>
      <c r="J49" s="253"/>
      <c r="K49" s="253"/>
      <c r="L49" s="253"/>
      <c r="M49" s="253"/>
      <c r="N49" s="253"/>
      <c r="O49" s="254"/>
      <c r="P49" s="7"/>
      <c r="Q49" s="7"/>
      <c r="R49" s="7"/>
      <c r="S49" s="35"/>
      <c r="T49" s="7"/>
      <c r="U49" s="7"/>
      <c r="V49" s="7"/>
      <c r="W49" s="7"/>
      <c r="X49" s="7"/>
      <c r="Y49" s="7"/>
      <c r="Z49" s="7"/>
      <c r="AA49" s="7"/>
      <c r="AB49" s="35"/>
      <c r="AD49" s="7"/>
      <c r="AE49" s="35"/>
      <c r="AF49" s="15"/>
      <c r="AG49" s="7"/>
      <c r="AH49" s="7"/>
      <c r="AI49" s="7"/>
    </row>
    <row r="50" spans="1:35" x14ac:dyDescent="0.35">
      <c r="A50" s="339" t="s">
        <v>391</v>
      </c>
      <c r="B50" s="252"/>
      <c r="C50" s="107"/>
      <c r="D50" s="107"/>
      <c r="E50" s="253"/>
      <c r="F50" s="107"/>
      <c r="G50" s="113"/>
      <c r="H50" s="252"/>
      <c r="I50" s="253"/>
      <c r="J50" s="253"/>
      <c r="K50" s="253"/>
      <c r="L50" s="253"/>
      <c r="M50" s="253"/>
      <c r="N50" s="253"/>
      <c r="O50" s="254"/>
      <c r="P50" s="7"/>
      <c r="Q50" s="7"/>
      <c r="R50" s="7"/>
      <c r="S50" s="35"/>
      <c r="T50" s="7"/>
      <c r="U50" s="7"/>
      <c r="V50" s="7"/>
      <c r="W50" s="7"/>
      <c r="X50" s="7"/>
      <c r="Y50" s="7"/>
      <c r="Z50" s="7"/>
      <c r="AA50" s="7"/>
      <c r="AB50" s="35"/>
      <c r="AD50" s="7"/>
      <c r="AE50" s="35"/>
      <c r="AF50" s="15"/>
      <c r="AG50" s="7"/>
      <c r="AH50" s="7"/>
      <c r="AI50" s="7"/>
    </row>
    <row r="51" spans="1:35" x14ac:dyDescent="0.35">
      <c r="A51" s="339" t="s">
        <v>390</v>
      </c>
      <c r="B51" s="252"/>
      <c r="C51" s="107"/>
      <c r="D51" s="107"/>
      <c r="E51" s="253"/>
      <c r="F51" s="107"/>
      <c r="G51" s="113"/>
      <c r="H51" s="252"/>
      <c r="I51" s="253"/>
      <c r="J51" s="253"/>
      <c r="K51" s="253"/>
      <c r="L51" s="253"/>
      <c r="M51" s="253"/>
      <c r="N51" s="253"/>
      <c r="O51" s="254"/>
      <c r="P51" s="7"/>
      <c r="Q51" s="7"/>
      <c r="R51" s="7"/>
      <c r="S51" s="35"/>
      <c r="T51" s="7"/>
      <c r="U51" s="7"/>
      <c r="V51" s="7"/>
      <c r="W51" s="7"/>
      <c r="X51" s="7"/>
      <c r="Y51" s="7"/>
      <c r="Z51" s="7"/>
      <c r="AA51" s="7"/>
      <c r="AB51" s="35"/>
      <c r="AD51" s="7"/>
      <c r="AE51" s="35"/>
      <c r="AF51" s="15"/>
      <c r="AG51" s="7"/>
      <c r="AH51" s="7"/>
      <c r="AI51" s="7"/>
    </row>
    <row r="52" spans="1:35" x14ac:dyDescent="0.35">
      <c r="A52" s="339" t="s">
        <v>392</v>
      </c>
      <c r="B52" s="252"/>
      <c r="C52" s="107"/>
      <c r="D52" s="107"/>
      <c r="E52" s="253"/>
      <c r="F52" s="107"/>
      <c r="G52" s="113"/>
      <c r="H52" s="252"/>
      <c r="I52" s="253"/>
      <c r="J52" s="253"/>
      <c r="K52" s="253"/>
      <c r="L52" s="253"/>
      <c r="M52" s="253"/>
      <c r="N52" s="253"/>
      <c r="O52" s="254"/>
      <c r="P52" s="7"/>
      <c r="Q52" s="7"/>
      <c r="R52" s="7"/>
      <c r="S52" s="35"/>
      <c r="T52" s="7"/>
      <c r="U52" s="7"/>
      <c r="V52" s="7"/>
      <c r="W52" s="7"/>
      <c r="X52" s="7"/>
      <c r="Y52" s="7"/>
      <c r="Z52" s="7"/>
      <c r="AA52" s="7"/>
      <c r="AB52" s="35"/>
      <c r="AD52" s="7"/>
      <c r="AE52" s="35"/>
      <c r="AF52" s="15"/>
      <c r="AG52" s="7"/>
      <c r="AH52" s="7"/>
      <c r="AI52" s="7"/>
    </row>
    <row r="53" spans="1:35" x14ac:dyDescent="0.35">
      <c r="A53" s="339" t="s">
        <v>633</v>
      </c>
      <c r="B53" s="252"/>
      <c r="C53" s="107"/>
      <c r="D53" s="107"/>
      <c r="E53" s="253"/>
      <c r="F53" s="107"/>
      <c r="G53" s="113"/>
      <c r="H53" s="252"/>
      <c r="I53" s="253"/>
      <c r="J53" s="253"/>
      <c r="K53" s="253"/>
      <c r="L53" s="253"/>
      <c r="M53" s="253"/>
      <c r="N53" s="253"/>
      <c r="O53" s="254"/>
      <c r="P53" s="7"/>
      <c r="Q53" s="7"/>
      <c r="R53" s="7"/>
      <c r="S53" s="35"/>
      <c r="T53" s="7"/>
      <c r="U53" s="7"/>
      <c r="V53" s="7"/>
      <c r="W53" s="7"/>
      <c r="X53" s="7"/>
      <c r="Y53" s="7"/>
      <c r="Z53" s="7"/>
      <c r="AA53" s="7"/>
      <c r="AB53" s="35"/>
      <c r="AD53" s="7"/>
      <c r="AE53" s="35"/>
      <c r="AF53" s="15"/>
      <c r="AG53" s="7"/>
      <c r="AH53" s="7"/>
      <c r="AI53" s="7"/>
    </row>
  </sheetData>
  <mergeCells count="6">
    <mergeCell ref="B1:G1"/>
    <mergeCell ref="B2:D2"/>
    <mergeCell ref="E2:G2"/>
    <mergeCell ref="H2:K2"/>
    <mergeCell ref="H1:O1"/>
    <mergeCell ref="L2:O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EA801-1E44-41EE-924B-B2A3F87C747E}">
  <sheetPr codeName="Sheet17">
    <tabColor rgb="FFFF0000"/>
  </sheetPr>
  <dimension ref="A1:BG64"/>
  <sheetViews>
    <sheetView zoomScale="80" zoomScaleNormal="80" workbookViewId="0">
      <pane xSplit="1" ySplit="1" topLeftCell="B2" activePane="bottomRight" state="frozen"/>
      <selection pane="topRight" activeCell="H1" sqref="H1:O1"/>
      <selection pane="bottomLeft" activeCell="H1" sqref="H1:O1"/>
      <selection pane="bottomRight" activeCell="H1" sqref="H1:O1"/>
    </sheetView>
  </sheetViews>
  <sheetFormatPr defaultColWidth="9.1796875" defaultRowHeight="14.5" outlineLevelCol="2" x14ac:dyDescent="0.35"/>
  <cols>
    <col min="1" max="1" width="45" customWidth="1"/>
    <col min="2" max="2" width="20.54296875" bestFit="1" customWidth="1"/>
    <col min="3" max="3" width="20" bestFit="1" customWidth="1"/>
    <col min="4" max="4" width="18.81640625" bestFit="1" customWidth="1" outlineLevel="1"/>
    <col min="5" max="5" width="17.453125" bestFit="1" customWidth="1" outlineLevel="2"/>
    <col min="6" max="6" width="16.54296875" customWidth="1" outlineLevel="2"/>
    <col min="7" max="7" width="17.453125" bestFit="1" customWidth="1" outlineLevel="1"/>
    <col min="8" max="8" width="21.453125" customWidth="1" outlineLevel="2"/>
    <col min="9" max="9" width="18.81640625" bestFit="1" customWidth="1" outlineLevel="1"/>
    <col min="10" max="10" width="18.81640625" bestFit="1" customWidth="1" outlineLevel="2"/>
    <col min="11" max="11" width="22.54296875" bestFit="1" customWidth="1" outlineLevel="1"/>
    <col min="12" max="12" width="21.54296875" bestFit="1" customWidth="1" outlineLevel="2"/>
    <col min="13" max="13" width="17.453125" bestFit="1" customWidth="1" outlineLevel="1"/>
    <col min="14" max="14" width="16.54296875" bestFit="1" customWidth="1" outlineLevel="2"/>
    <col min="15" max="15" width="17" bestFit="1" customWidth="1" outlineLevel="2"/>
    <col min="16" max="16" width="17.453125" bestFit="1" customWidth="1" outlineLevel="2"/>
    <col min="17" max="18" width="19.453125" bestFit="1" customWidth="1" outlineLevel="1"/>
    <col min="19" max="19" width="20.54296875" bestFit="1" customWidth="1"/>
    <col min="20" max="20" width="19.54296875" customWidth="1" outlineLevel="1"/>
    <col min="21" max="21" width="20.54296875" customWidth="1" outlineLevel="2"/>
    <col min="22" max="22" width="17.81640625" customWidth="1" outlineLevel="2"/>
    <col min="23" max="23" width="19.1796875" customWidth="1" outlineLevel="1"/>
    <col min="24" max="24" width="18" customWidth="1" outlineLevel="2"/>
    <col min="25" max="25" width="14.81640625" bestFit="1" customWidth="1" outlineLevel="2"/>
    <col min="26" max="26" width="20.453125" customWidth="1" outlineLevel="1"/>
    <col min="27" max="27" width="19.1796875" customWidth="1" outlineLevel="2"/>
    <col min="28" max="28" width="18.81640625" bestFit="1" customWidth="1" outlineLevel="1"/>
    <col min="29" max="29" width="18.54296875" bestFit="1" customWidth="1" outlineLevel="2"/>
    <col min="30" max="30" width="19.81640625" customWidth="1" outlineLevel="2"/>
    <col min="31" max="31" width="18.81640625" bestFit="1" customWidth="1" outlineLevel="1"/>
    <col min="32" max="32" width="19" bestFit="1" customWidth="1" outlineLevel="1"/>
    <col min="33" max="33" width="19.453125" bestFit="1" customWidth="1"/>
    <col min="34" max="34" width="18.81640625" bestFit="1" customWidth="1" outlineLevel="1"/>
    <col min="35" max="35" width="18.453125" customWidth="1" outlineLevel="2"/>
    <col min="36" max="36" width="9.1796875" customWidth="1" outlineLevel="2"/>
    <col min="37" max="39" width="9.1796875" hidden="1" customWidth="1" outlineLevel="2"/>
    <col min="40" max="40" width="21" customWidth="1" outlineLevel="1"/>
    <col min="41" max="41" width="17.81640625" bestFit="1" customWidth="1" outlineLevel="1"/>
    <col min="42" max="42" width="9.1796875" customWidth="1" outlineLevel="1"/>
    <col min="43" max="49" width="9.1796875" customWidth="1" outlineLevel="2"/>
    <col min="50" max="50" width="18.81640625" customWidth="1" outlineLevel="1"/>
    <col min="51" max="52" width="14.54296875" hidden="1" customWidth="1" outlineLevel="2"/>
    <col min="53" max="53" width="13.453125" hidden="1" customWidth="1" outlineLevel="2"/>
    <col min="54" max="54" width="5.453125" hidden="1" customWidth="1" outlineLevel="2"/>
    <col min="55" max="56" width="16.453125" hidden="1" customWidth="1" outlineLevel="2"/>
    <col min="57" max="60" width="0" hidden="1" customWidth="1"/>
  </cols>
  <sheetData>
    <row r="1" spans="1:56" s="1" customFormat="1" ht="45" customHeight="1" x14ac:dyDescent="0.35">
      <c r="B1" s="4" t="s">
        <v>348</v>
      </c>
      <c r="C1" s="3" t="s">
        <v>349</v>
      </c>
      <c r="D1" s="2" t="s">
        <v>351</v>
      </c>
      <c r="E1" s="1" t="s">
        <v>352</v>
      </c>
      <c r="F1" s="1" t="s">
        <v>353</v>
      </c>
      <c r="G1" s="2" t="s">
        <v>354</v>
      </c>
      <c r="H1" s="1" t="s">
        <v>355</v>
      </c>
      <c r="I1" s="2" t="s">
        <v>356</v>
      </c>
      <c r="J1" s="1" t="s">
        <v>357</v>
      </c>
      <c r="K1" s="2" t="s">
        <v>358</v>
      </c>
      <c r="L1" s="1" t="s">
        <v>359</v>
      </c>
      <c r="M1" s="2" t="s">
        <v>360</v>
      </c>
      <c r="N1" s="1" t="s">
        <v>361</v>
      </c>
      <c r="O1" s="1" t="s">
        <v>362</v>
      </c>
      <c r="P1" s="1" t="s">
        <v>363</v>
      </c>
      <c r="Q1" s="2" t="s">
        <v>364</v>
      </c>
      <c r="R1" s="1" t="s">
        <v>365</v>
      </c>
      <c r="S1" s="3" t="s">
        <v>366</v>
      </c>
      <c r="T1" s="2" t="s">
        <v>367</v>
      </c>
      <c r="U1" s="1" t="s">
        <v>368</v>
      </c>
      <c r="V1" s="1" t="s">
        <v>369</v>
      </c>
      <c r="W1" s="2" t="s">
        <v>371</v>
      </c>
      <c r="X1" s="1" t="s">
        <v>372</v>
      </c>
      <c r="Y1" s="1" t="s">
        <v>373</v>
      </c>
      <c r="Z1" s="2" t="s">
        <v>374</v>
      </c>
      <c r="AA1" s="1" t="s">
        <v>375</v>
      </c>
      <c r="AB1" s="2" t="s">
        <v>376</v>
      </c>
      <c r="AC1" s="1" t="s">
        <v>377</v>
      </c>
      <c r="AD1" s="1" t="s">
        <v>378</v>
      </c>
      <c r="AE1" s="2" t="s">
        <v>379</v>
      </c>
      <c r="AF1" s="1" t="s">
        <v>380</v>
      </c>
      <c r="AG1" s="3" t="s">
        <v>381</v>
      </c>
      <c r="AH1" s="17" t="s">
        <v>382</v>
      </c>
      <c r="AI1" s="1" t="s">
        <v>383</v>
      </c>
      <c r="AJ1" s="17" t="s">
        <v>373</v>
      </c>
      <c r="AK1" s="1" t="s">
        <v>516</v>
      </c>
      <c r="AL1" s="1" t="s">
        <v>517</v>
      </c>
      <c r="AM1" s="1" t="s">
        <v>518</v>
      </c>
      <c r="AN1" s="2" t="s">
        <v>384</v>
      </c>
      <c r="AO1" s="1" t="s">
        <v>385</v>
      </c>
      <c r="AP1" s="17" t="s">
        <v>373</v>
      </c>
      <c r="AQ1" s="1" t="s">
        <v>525</v>
      </c>
      <c r="AR1" s="1" t="s">
        <v>526</v>
      </c>
      <c r="AS1" s="1" t="s">
        <v>527</v>
      </c>
      <c r="AT1" s="1" t="s">
        <v>528</v>
      </c>
      <c r="AU1" s="1" t="s">
        <v>529</v>
      </c>
      <c r="AV1" s="1" t="s">
        <v>530</v>
      </c>
      <c r="AW1" s="1" t="s">
        <v>531</v>
      </c>
      <c r="AX1" s="1" t="s">
        <v>386</v>
      </c>
      <c r="AY1" s="1" t="s">
        <v>574</v>
      </c>
      <c r="AZ1" s="1" t="s">
        <v>389</v>
      </c>
      <c r="BA1" s="1" t="s">
        <v>391</v>
      </c>
      <c r="BB1" s="1" t="s">
        <v>390</v>
      </c>
      <c r="BC1" s="1" t="s">
        <v>392</v>
      </c>
      <c r="BD1" s="1" t="s">
        <v>633</v>
      </c>
    </row>
    <row r="2" spans="1:56" s="1" customFormat="1" ht="15.5" x14ac:dyDescent="0.35">
      <c r="A2" s="65" t="s">
        <v>634</v>
      </c>
    </row>
    <row r="3" spans="1:56" s="9" customFormat="1" x14ac:dyDescent="0.35">
      <c r="A3" s="9" t="s">
        <v>635</v>
      </c>
      <c r="B3" s="27">
        <f>C3+S3+AG3</f>
        <v>0</v>
      </c>
      <c r="C3" s="9">
        <f>D3+G3+I3+K3+M3+Q3</f>
        <v>0</v>
      </c>
      <c r="D3" s="27">
        <f>SUM(E3:F3)</f>
        <v>0</v>
      </c>
      <c r="E3" s="27"/>
      <c r="F3" s="27">
        <v>0</v>
      </c>
      <c r="G3" s="9">
        <f>H3</f>
        <v>0</v>
      </c>
      <c r="I3" s="9">
        <f>J3</f>
        <v>0</v>
      </c>
      <c r="J3" s="25"/>
      <c r="K3" s="9">
        <f>L3</f>
        <v>0</v>
      </c>
      <c r="L3" s="25"/>
      <c r="M3" s="9">
        <f>SUM(N3:P3)</f>
        <v>0</v>
      </c>
      <c r="O3" s="25"/>
      <c r="Q3" s="9">
        <f>R3</f>
        <v>0</v>
      </c>
      <c r="R3" s="25"/>
      <c r="S3" s="9">
        <f>T3+W3+Z3+AB3+AE3</f>
        <v>0</v>
      </c>
      <c r="T3" s="9">
        <f>SUM(U3:V3)</f>
        <v>0</v>
      </c>
      <c r="U3" s="25"/>
      <c r="V3" s="9">
        <v>0</v>
      </c>
      <c r="W3" s="9">
        <f>SUM(X3:Y3)</f>
        <v>0</v>
      </c>
      <c r="X3" s="25"/>
      <c r="Z3" s="9">
        <f>AA3</f>
        <v>0</v>
      </c>
      <c r="AB3" s="9">
        <f>SUM(AC3:AD3)</f>
        <v>0</v>
      </c>
      <c r="AC3" s="25"/>
      <c r="AD3" s="25"/>
      <c r="AE3" s="9">
        <f>AF3</f>
        <v>0</v>
      </c>
      <c r="AG3" s="9">
        <f>AH3+AN3</f>
        <v>0</v>
      </c>
      <c r="AH3" s="9">
        <f>AI3+AJ3</f>
        <v>0</v>
      </c>
      <c r="AJ3" s="9">
        <f>SUM(AK3:AM3)</f>
        <v>0</v>
      </c>
      <c r="AN3" s="9">
        <f>AO3+AP3+AX3</f>
        <v>0</v>
      </c>
      <c r="AX3" s="25"/>
    </row>
    <row r="4" spans="1:56" s="9" customFormat="1" x14ac:dyDescent="0.35">
      <c r="A4" s="151" t="s">
        <v>636</v>
      </c>
      <c r="F4" s="25"/>
      <c r="J4" s="25"/>
      <c r="L4" s="25"/>
      <c r="O4" s="25"/>
      <c r="R4" s="25"/>
      <c r="U4" s="25"/>
      <c r="X4" s="25"/>
      <c r="AC4" s="25"/>
      <c r="AD4" s="25"/>
      <c r="AX4" s="25"/>
    </row>
    <row r="5" spans="1:56" s="9" customFormat="1" x14ac:dyDescent="0.35">
      <c r="A5" s="151" t="s">
        <v>637</v>
      </c>
      <c r="F5" s="25"/>
      <c r="J5" s="25"/>
      <c r="L5" s="25"/>
      <c r="O5" s="25"/>
      <c r="R5" s="25"/>
      <c r="U5" s="25"/>
      <c r="X5" s="25"/>
      <c r="AC5" s="25"/>
      <c r="AD5" s="25"/>
      <c r="AX5" s="25"/>
    </row>
    <row r="6" spans="1:56" s="9" customFormat="1" x14ac:dyDescent="0.35">
      <c r="A6" s="151" t="s">
        <v>638</v>
      </c>
      <c r="F6" s="25"/>
      <c r="J6" s="25"/>
      <c r="L6" s="25"/>
      <c r="O6" s="25"/>
      <c r="R6" s="25"/>
      <c r="U6" s="25"/>
      <c r="X6" s="25"/>
      <c r="AC6" s="25"/>
      <c r="AD6" s="25"/>
      <c r="AX6" s="25"/>
    </row>
    <row r="7" spans="1:56" s="9" customFormat="1" x14ac:dyDescent="0.35">
      <c r="A7" s="151" t="s">
        <v>639</v>
      </c>
      <c r="F7" s="25"/>
      <c r="J7" s="25"/>
      <c r="L7" s="25"/>
      <c r="O7" s="25"/>
      <c r="R7" s="25"/>
      <c r="U7" s="25"/>
      <c r="X7" s="25"/>
      <c r="AC7" s="25"/>
      <c r="AD7" s="25"/>
      <c r="AX7" s="25"/>
    </row>
    <row r="8" spans="1:56" s="9" customFormat="1" x14ac:dyDescent="0.35">
      <c r="A8" s="64"/>
      <c r="F8" s="25"/>
      <c r="J8" s="25"/>
      <c r="L8" s="25"/>
      <c r="O8" s="25"/>
      <c r="R8" s="25"/>
      <c r="U8" s="25"/>
      <c r="X8" s="25"/>
      <c r="AC8" s="25"/>
      <c r="AD8" s="25"/>
      <c r="AX8" s="25"/>
    </row>
    <row r="9" spans="1:56" s="9" customFormat="1" x14ac:dyDescent="0.35">
      <c r="A9" s="71" t="s">
        <v>640</v>
      </c>
      <c r="B9" s="39"/>
      <c r="C9" s="39"/>
      <c r="D9" s="39"/>
      <c r="E9" s="39"/>
      <c r="F9" s="40"/>
      <c r="G9" s="39"/>
      <c r="H9" s="39"/>
      <c r="I9" s="39"/>
      <c r="J9" s="40"/>
      <c r="K9" s="39"/>
      <c r="L9" s="40"/>
      <c r="M9" s="39"/>
      <c r="N9" s="39"/>
      <c r="O9" s="40"/>
      <c r="P9" s="39"/>
      <c r="Q9" s="39"/>
      <c r="R9" s="40"/>
      <c r="S9" s="39"/>
      <c r="T9" s="39"/>
      <c r="U9" s="40"/>
      <c r="V9" s="39"/>
      <c r="W9" s="39"/>
      <c r="X9" s="40"/>
      <c r="Y9" s="39"/>
      <c r="Z9" s="39"/>
      <c r="AA9" s="39"/>
      <c r="AB9" s="39"/>
      <c r="AC9" s="40"/>
      <c r="AD9" s="40"/>
      <c r="AE9" s="39"/>
      <c r="AF9" s="39"/>
      <c r="AG9" s="39"/>
      <c r="AH9" s="39"/>
      <c r="AI9" s="39"/>
      <c r="AJ9" s="39"/>
      <c r="AK9" s="39"/>
      <c r="AL9" s="39"/>
      <c r="AM9" s="39"/>
      <c r="AN9" s="39"/>
      <c r="AO9" s="39"/>
      <c r="AP9" s="39"/>
      <c r="AQ9" s="39"/>
      <c r="AR9" s="39"/>
      <c r="AS9" s="39"/>
      <c r="AT9" s="39"/>
      <c r="AU9" s="39"/>
      <c r="AV9" s="39"/>
      <c r="AW9" s="39"/>
      <c r="AX9" s="40"/>
    </row>
    <row r="10" spans="1:56" s="9" customFormat="1" x14ac:dyDescent="0.35">
      <c r="F10" s="25"/>
      <c r="J10" s="25"/>
      <c r="L10" s="25"/>
      <c r="O10" s="25"/>
      <c r="R10" s="25"/>
      <c r="U10" s="25"/>
      <c r="X10" s="25"/>
      <c r="AC10" s="25"/>
      <c r="AD10" s="25"/>
      <c r="AX10" s="25"/>
    </row>
    <row r="11" spans="1:56" s="9" customFormat="1" ht="15.5" x14ac:dyDescent="0.35">
      <c r="A11" s="65" t="s">
        <v>641</v>
      </c>
      <c r="F11" s="25"/>
      <c r="J11" s="25"/>
      <c r="L11" s="25"/>
      <c r="O11" s="25"/>
      <c r="R11" s="25"/>
      <c r="U11" s="25"/>
      <c r="X11" s="25"/>
      <c r="AC11" s="25"/>
      <c r="AD11" s="25"/>
      <c r="AX11" s="25"/>
    </row>
    <row r="12" spans="1:56" s="18" customFormat="1" x14ac:dyDescent="0.35">
      <c r="A12" s="45" t="s">
        <v>642</v>
      </c>
      <c r="B12" s="45">
        <f>C12+S12+AG12</f>
        <v>0</v>
      </c>
      <c r="C12" s="45">
        <f>D12+G12+I12+K12+M12+Q12</f>
        <v>0</v>
      </c>
      <c r="D12" s="45">
        <f>SUM(E12:F12)</f>
        <v>0</v>
      </c>
      <c r="E12" s="45"/>
      <c r="F12" s="46"/>
      <c r="G12" s="45">
        <f>H12</f>
        <v>0</v>
      </c>
      <c r="H12" s="45"/>
      <c r="I12" s="45">
        <f>J12</f>
        <v>0</v>
      </c>
      <c r="J12" s="46"/>
      <c r="K12" s="45">
        <f>L12</f>
        <v>0</v>
      </c>
      <c r="L12" s="46"/>
      <c r="M12" s="45">
        <f>SUM(N12:P12)</f>
        <v>0</v>
      </c>
      <c r="N12" s="45"/>
      <c r="O12" s="46"/>
      <c r="P12" s="45"/>
      <c r="Q12" s="45">
        <f>R12</f>
        <v>0</v>
      </c>
      <c r="R12" s="46"/>
      <c r="S12" s="45">
        <f>T12+W12+Z12+AB12+AE12</f>
        <v>0</v>
      </c>
      <c r="T12" s="45"/>
      <c r="U12" s="46"/>
      <c r="V12" s="45"/>
      <c r="W12" s="45">
        <f>SUM(X12:Y12)</f>
        <v>0</v>
      </c>
      <c r="X12" s="46"/>
      <c r="Y12" s="45"/>
      <c r="Z12" s="45">
        <f>AA12</f>
        <v>0</v>
      </c>
      <c r="AA12" s="45"/>
      <c r="AB12" s="45">
        <f>SUM(AC12:AD12)</f>
        <v>0</v>
      </c>
      <c r="AC12" s="46"/>
      <c r="AD12" s="46"/>
      <c r="AE12" s="45">
        <f>AF12</f>
        <v>0</v>
      </c>
      <c r="AF12" s="45"/>
      <c r="AG12" s="45">
        <f>AH12+AN12</f>
        <v>0</v>
      </c>
      <c r="AH12" s="45">
        <f>AI12+AJ12</f>
        <v>0</v>
      </c>
      <c r="AI12" s="45"/>
      <c r="AJ12" s="45">
        <f>SUM(AK12:AM12)</f>
        <v>0</v>
      </c>
      <c r="AK12" s="45"/>
      <c r="AL12" s="45"/>
      <c r="AM12" s="45"/>
      <c r="AN12" s="45">
        <f>AO12+AP12+AX12</f>
        <v>0</v>
      </c>
      <c r="AO12" s="45"/>
      <c r="AP12" s="45">
        <f>SUM(AQ12:AW12)</f>
        <v>0</v>
      </c>
      <c r="AQ12" s="45"/>
      <c r="AR12" s="45"/>
      <c r="AS12" s="45"/>
      <c r="AT12" s="45"/>
      <c r="AU12" s="45"/>
      <c r="AV12" s="45"/>
      <c r="AW12" s="45"/>
      <c r="AX12" s="46"/>
    </row>
    <row r="13" spans="1:56" s="18" customFormat="1" x14ac:dyDescent="0.35">
      <c r="A13" s="18" t="s">
        <v>643</v>
      </c>
      <c r="B13" s="18">
        <f t="shared" ref="B13:B17" si="0">C13+S13+AG13</f>
        <v>0</v>
      </c>
      <c r="C13" s="18">
        <f t="shared" ref="C13:C17" si="1">D13+G13+I13+K13+M13+Q13</f>
        <v>0</v>
      </c>
      <c r="D13" s="18">
        <f t="shared" ref="D13:D17" si="2">SUM(E13:F13)</f>
        <v>0</v>
      </c>
      <c r="F13" s="43"/>
      <c r="I13" s="18">
        <f t="shared" ref="I13:I49" si="3">J13</f>
        <v>0</v>
      </c>
      <c r="J13" s="43"/>
      <c r="K13" s="18">
        <f>L13</f>
        <v>0</v>
      </c>
      <c r="L13" s="43"/>
      <c r="M13" s="18">
        <f t="shared" ref="M13:M17" si="4">SUM(N13:P13)</f>
        <v>0</v>
      </c>
      <c r="O13" s="43"/>
      <c r="Q13" s="18">
        <f t="shared" ref="Q13:Q49" si="5">R13</f>
        <v>0</v>
      </c>
      <c r="R13" s="43"/>
      <c r="U13" s="43"/>
      <c r="W13" s="18">
        <f t="shared" ref="W13:W17" si="6">SUM(X13:Y13)</f>
        <v>0</v>
      </c>
      <c r="X13" s="43"/>
      <c r="Z13" s="18">
        <f t="shared" ref="Z13:Z49" si="7">AA13</f>
        <v>0</v>
      </c>
      <c r="AB13" s="18">
        <f t="shared" ref="AB13:AB17" si="8">SUM(AC13:AD13)</f>
        <v>0</v>
      </c>
      <c r="AC13" s="43"/>
      <c r="AD13" s="44"/>
      <c r="AE13" s="18">
        <f t="shared" ref="AE13:AE49" si="9">AF13</f>
        <v>0</v>
      </c>
      <c r="AH13" s="18">
        <f t="shared" ref="AH13:AH17" si="10">AI13+AJ13</f>
        <v>0</v>
      </c>
      <c r="AJ13" s="18">
        <f t="shared" ref="AJ13:AJ17" si="11">SUM(AK13:AM13)</f>
        <v>0</v>
      </c>
      <c r="AN13" s="18">
        <f t="shared" ref="AN13:AN17" si="12">AO13+AP13+AX13</f>
        <v>0</v>
      </c>
      <c r="AP13" s="18">
        <f t="shared" ref="AP13:AP17" si="13">SUM(AQ13:AW13)</f>
        <v>0</v>
      </c>
      <c r="AX13" s="43"/>
    </row>
    <row r="14" spans="1:56" s="9" customFormat="1" x14ac:dyDescent="0.35">
      <c r="A14" s="64" t="s">
        <v>644</v>
      </c>
      <c r="B14" s="9">
        <f t="shared" si="0"/>
        <v>0</v>
      </c>
      <c r="C14" s="9">
        <f t="shared" si="1"/>
        <v>0</v>
      </c>
      <c r="D14" s="9">
        <f t="shared" si="2"/>
        <v>0</v>
      </c>
      <c r="E14" s="9">
        <v>0</v>
      </c>
      <c r="F14" s="25"/>
      <c r="G14" s="9">
        <f t="shared" ref="G14:G49" si="14">H14</f>
        <v>0</v>
      </c>
      <c r="H14" s="9">
        <v>0</v>
      </c>
      <c r="I14" s="9">
        <f t="shared" si="3"/>
        <v>0</v>
      </c>
      <c r="J14" s="25"/>
      <c r="K14" s="9">
        <f t="shared" ref="K14:K49" si="15">L14</f>
        <v>0</v>
      </c>
      <c r="L14" s="25"/>
      <c r="M14" s="9">
        <f t="shared" si="4"/>
        <v>0</v>
      </c>
      <c r="O14" s="25"/>
      <c r="Q14" s="9">
        <f t="shared" si="5"/>
        <v>0</v>
      </c>
      <c r="R14" s="25">
        <v>0</v>
      </c>
      <c r="S14" s="9">
        <f t="shared" ref="S14:S17" si="16">T14+W14+Z14+AB14+AE14</f>
        <v>0</v>
      </c>
      <c r="U14" s="25"/>
      <c r="W14" s="9">
        <f t="shared" si="6"/>
        <v>0</v>
      </c>
      <c r="X14" s="25"/>
      <c r="Y14" s="9">
        <v>0</v>
      </c>
      <c r="Z14" s="9">
        <f t="shared" si="7"/>
        <v>0</v>
      </c>
      <c r="AA14" s="9">
        <v>0</v>
      </c>
      <c r="AB14" s="9">
        <f t="shared" si="8"/>
        <v>0</v>
      </c>
      <c r="AC14" s="25"/>
      <c r="AD14" s="28"/>
      <c r="AE14" s="9">
        <f t="shared" si="9"/>
        <v>0</v>
      </c>
      <c r="AF14" s="9">
        <v>0</v>
      </c>
      <c r="AG14" s="9">
        <f t="shared" ref="AG14:AG17" si="17">AH14+AN14</f>
        <v>0</v>
      </c>
      <c r="AJ14" s="9">
        <f t="shared" si="11"/>
        <v>0</v>
      </c>
      <c r="AN14" s="9">
        <f t="shared" si="12"/>
        <v>0</v>
      </c>
      <c r="AP14" s="9">
        <f t="shared" si="13"/>
        <v>0</v>
      </c>
      <c r="AX14" s="25">
        <f t="shared" ref="AX14:AX15" si="18">SUM(AY14:BD14)</f>
        <v>0</v>
      </c>
    </row>
    <row r="15" spans="1:56" s="9" customFormat="1" x14ac:dyDescent="0.35">
      <c r="A15" s="64" t="s">
        <v>645</v>
      </c>
      <c r="B15" s="9">
        <f t="shared" si="0"/>
        <v>0</v>
      </c>
      <c r="C15" s="9">
        <f t="shared" si="1"/>
        <v>0</v>
      </c>
      <c r="D15" s="9">
        <f t="shared" si="2"/>
        <v>0</v>
      </c>
      <c r="F15" s="25"/>
      <c r="G15" s="9">
        <f t="shared" si="14"/>
        <v>0</v>
      </c>
      <c r="I15" s="9">
        <f t="shared" si="3"/>
        <v>0</v>
      </c>
      <c r="J15" s="25"/>
      <c r="K15" s="9">
        <f t="shared" si="15"/>
        <v>0</v>
      </c>
      <c r="L15" s="25"/>
      <c r="M15" s="9">
        <f t="shared" si="4"/>
        <v>0</v>
      </c>
      <c r="O15" s="25"/>
      <c r="Q15" s="9">
        <f t="shared" si="5"/>
        <v>0</v>
      </c>
      <c r="R15" s="25"/>
      <c r="S15" s="9">
        <f t="shared" si="16"/>
        <v>0</v>
      </c>
      <c r="T15" s="9">
        <f t="shared" ref="T15:T17" si="19">SUM(U15:V15)</f>
        <v>0</v>
      </c>
      <c r="U15" s="25"/>
      <c r="V15" s="9">
        <v>0</v>
      </c>
      <c r="W15" s="9">
        <f t="shared" si="6"/>
        <v>0</v>
      </c>
      <c r="X15" s="25"/>
      <c r="Y15" s="9">
        <v>0</v>
      </c>
      <c r="Z15" s="9">
        <f t="shared" si="7"/>
        <v>0</v>
      </c>
      <c r="AB15" s="9">
        <f t="shared" si="8"/>
        <v>0</v>
      </c>
      <c r="AC15" s="25"/>
      <c r="AD15" s="28"/>
      <c r="AE15" s="9">
        <f t="shared" si="9"/>
        <v>0</v>
      </c>
      <c r="AG15" s="9">
        <f t="shared" si="17"/>
        <v>0</v>
      </c>
      <c r="AH15" s="9">
        <f t="shared" si="10"/>
        <v>0</v>
      </c>
      <c r="AJ15" s="9">
        <f t="shared" si="11"/>
        <v>0</v>
      </c>
      <c r="AN15" s="9">
        <f t="shared" si="12"/>
        <v>0</v>
      </c>
      <c r="AP15" s="9">
        <f t="shared" si="13"/>
        <v>0</v>
      </c>
      <c r="AX15" s="25">
        <f t="shared" si="18"/>
        <v>0</v>
      </c>
    </row>
    <row r="16" spans="1:56" s="9" customFormat="1" x14ac:dyDescent="0.35">
      <c r="A16" s="64" t="s">
        <v>646</v>
      </c>
      <c r="B16" s="9">
        <f t="shared" si="0"/>
        <v>0</v>
      </c>
      <c r="C16" s="9">
        <f t="shared" si="1"/>
        <v>0</v>
      </c>
      <c r="D16" s="9">
        <f t="shared" si="2"/>
        <v>0</v>
      </c>
      <c r="F16" s="25"/>
      <c r="G16" s="9">
        <f t="shared" si="14"/>
        <v>0</v>
      </c>
      <c r="I16" s="9">
        <f t="shared" si="3"/>
        <v>0</v>
      </c>
      <c r="J16" s="25"/>
      <c r="K16" s="9">
        <f t="shared" si="15"/>
        <v>0</v>
      </c>
      <c r="L16" s="25"/>
      <c r="M16" s="9">
        <f t="shared" si="4"/>
        <v>0</v>
      </c>
      <c r="O16" s="25"/>
      <c r="R16" s="25"/>
      <c r="U16" s="25"/>
      <c r="W16" s="9">
        <f t="shared" si="6"/>
        <v>0</v>
      </c>
      <c r="X16" s="25"/>
      <c r="Z16" s="9">
        <f t="shared" si="7"/>
        <v>0</v>
      </c>
      <c r="AA16" s="9">
        <v>0</v>
      </c>
      <c r="AB16" s="9">
        <f t="shared" si="8"/>
        <v>0</v>
      </c>
      <c r="AC16" s="25">
        <v>0</v>
      </c>
      <c r="AD16" s="28"/>
      <c r="AE16" s="9">
        <f t="shared" si="9"/>
        <v>0</v>
      </c>
      <c r="AG16" s="9">
        <f t="shared" si="17"/>
        <v>0</v>
      </c>
      <c r="AH16" s="9">
        <f t="shared" si="10"/>
        <v>0</v>
      </c>
      <c r="AJ16" s="9">
        <f t="shared" si="11"/>
        <v>0</v>
      </c>
      <c r="AN16" s="9">
        <f t="shared" si="12"/>
        <v>0</v>
      </c>
      <c r="AP16" s="9">
        <f t="shared" si="13"/>
        <v>0</v>
      </c>
      <c r="AX16" s="25"/>
    </row>
    <row r="17" spans="1:59" s="9" customFormat="1" x14ac:dyDescent="0.35">
      <c r="A17" s="73" t="s">
        <v>647</v>
      </c>
      <c r="B17" s="49">
        <f t="shared" si="0"/>
        <v>0</v>
      </c>
      <c r="C17" s="49">
        <f t="shared" si="1"/>
        <v>0</v>
      </c>
      <c r="D17" s="49">
        <f t="shared" si="2"/>
        <v>0</v>
      </c>
      <c r="E17" s="49"/>
      <c r="F17" s="50">
        <v>0</v>
      </c>
      <c r="G17" s="49">
        <f t="shared" si="14"/>
        <v>0</v>
      </c>
      <c r="H17" s="49"/>
      <c r="I17" s="49">
        <f t="shared" si="3"/>
        <v>0</v>
      </c>
      <c r="J17" s="50"/>
      <c r="K17" s="49">
        <f t="shared" si="15"/>
        <v>0</v>
      </c>
      <c r="L17" s="50"/>
      <c r="M17" s="49">
        <f t="shared" si="4"/>
        <v>0</v>
      </c>
      <c r="N17" s="49"/>
      <c r="O17" s="50"/>
      <c r="P17" s="49"/>
      <c r="Q17" s="49">
        <f t="shared" si="5"/>
        <v>0</v>
      </c>
      <c r="R17" s="50">
        <v>0</v>
      </c>
      <c r="S17" s="49">
        <f t="shared" si="16"/>
        <v>0</v>
      </c>
      <c r="T17" s="49">
        <f t="shared" si="19"/>
        <v>0</v>
      </c>
      <c r="U17" s="50"/>
      <c r="V17" s="49">
        <v>0</v>
      </c>
      <c r="W17" s="49">
        <f t="shared" si="6"/>
        <v>0</v>
      </c>
      <c r="X17" s="50"/>
      <c r="Y17" s="49"/>
      <c r="Z17" s="49">
        <f t="shared" si="7"/>
        <v>0</v>
      </c>
      <c r="AA17" s="49"/>
      <c r="AB17" s="49">
        <f t="shared" si="8"/>
        <v>0</v>
      </c>
      <c r="AC17" s="50"/>
      <c r="AD17" s="51"/>
      <c r="AE17" s="49">
        <f t="shared" si="9"/>
        <v>0</v>
      </c>
      <c r="AF17" s="49"/>
      <c r="AG17" s="49">
        <f t="shared" si="17"/>
        <v>0</v>
      </c>
      <c r="AH17" s="49">
        <f t="shared" si="10"/>
        <v>0</v>
      </c>
      <c r="AI17" s="49">
        <v>0</v>
      </c>
      <c r="AJ17" s="49">
        <f t="shared" si="11"/>
        <v>0</v>
      </c>
      <c r="AK17" s="49"/>
      <c r="AL17" s="49"/>
      <c r="AM17" s="49"/>
      <c r="AN17" s="49">
        <f t="shared" si="12"/>
        <v>0</v>
      </c>
      <c r="AO17" s="49"/>
      <c r="AP17" s="49">
        <f t="shared" si="13"/>
        <v>0</v>
      </c>
      <c r="AQ17" s="49"/>
      <c r="AR17" s="49"/>
      <c r="AS17" s="49"/>
      <c r="AT17" s="49"/>
      <c r="AU17" s="49"/>
      <c r="AV17" s="49"/>
      <c r="AW17" s="49"/>
      <c r="AX17" s="50"/>
      <c r="AY17" s="49"/>
      <c r="AZ17" s="49"/>
      <c r="BA17" s="49"/>
      <c r="BB17" s="49"/>
      <c r="BC17" s="49"/>
      <c r="BD17" s="49"/>
    </row>
    <row r="18" spans="1:59" s="54" customFormat="1" x14ac:dyDescent="0.35">
      <c r="A18" s="54" t="s">
        <v>648</v>
      </c>
      <c r="B18" s="54">
        <f>C18+S18+AG18</f>
        <v>0</v>
      </c>
      <c r="C18" s="33">
        <f t="shared" ref="C18:C30" si="20">D18+G18+I18+K18+M18+Q18</f>
        <v>0</v>
      </c>
      <c r="D18" s="54">
        <f t="shared" ref="D18:AJ18" si="21">D19+D29+D30</f>
        <v>0</v>
      </c>
      <c r="E18" s="54">
        <f t="shared" si="21"/>
        <v>0</v>
      </c>
      <c r="F18" s="54">
        <f t="shared" si="21"/>
        <v>0</v>
      </c>
      <c r="G18" s="54">
        <f t="shared" si="21"/>
        <v>0</v>
      </c>
      <c r="H18" s="54">
        <f t="shared" si="21"/>
        <v>0</v>
      </c>
      <c r="I18" s="54">
        <f t="shared" si="21"/>
        <v>0</v>
      </c>
      <c r="J18" s="54">
        <f t="shared" si="21"/>
        <v>0</v>
      </c>
      <c r="K18" s="54">
        <f t="shared" si="21"/>
        <v>0</v>
      </c>
      <c r="L18" s="54">
        <f t="shared" si="21"/>
        <v>0</v>
      </c>
      <c r="M18" s="54">
        <f t="shared" si="21"/>
        <v>0</v>
      </c>
      <c r="N18" s="54">
        <f t="shared" si="21"/>
        <v>0</v>
      </c>
      <c r="O18" s="54">
        <f t="shared" si="21"/>
        <v>0</v>
      </c>
      <c r="P18" s="54">
        <f t="shared" si="21"/>
        <v>0</v>
      </c>
      <c r="Q18" s="54">
        <f t="shared" si="21"/>
        <v>0</v>
      </c>
      <c r="R18" s="54">
        <f t="shared" si="21"/>
        <v>0</v>
      </c>
      <c r="S18" s="54">
        <f t="shared" si="21"/>
        <v>0</v>
      </c>
      <c r="T18" s="54">
        <f t="shared" si="21"/>
        <v>0</v>
      </c>
      <c r="U18" s="54">
        <f t="shared" si="21"/>
        <v>0</v>
      </c>
      <c r="V18" s="54">
        <f t="shared" si="21"/>
        <v>0</v>
      </c>
      <c r="W18" s="54">
        <f t="shared" si="21"/>
        <v>0</v>
      </c>
      <c r="X18" s="54">
        <f t="shared" si="21"/>
        <v>0</v>
      </c>
      <c r="Y18" s="54">
        <f t="shared" si="21"/>
        <v>0</v>
      </c>
      <c r="Z18" s="54">
        <f t="shared" si="21"/>
        <v>0</v>
      </c>
      <c r="AA18" s="54">
        <f t="shared" si="21"/>
        <v>0</v>
      </c>
      <c r="AB18" s="54">
        <f t="shared" si="21"/>
        <v>0</v>
      </c>
      <c r="AC18" s="54">
        <f t="shared" si="21"/>
        <v>0</v>
      </c>
      <c r="AD18" s="54">
        <f t="shared" si="21"/>
        <v>0</v>
      </c>
      <c r="AE18" s="54">
        <f t="shared" si="21"/>
        <v>0</v>
      </c>
      <c r="AF18" s="54">
        <f t="shared" si="21"/>
        <v>0</v>
      </c>
      <c r="AG18" s="54">
        <f t="shared" si="21"/>
        <v>0</v>
      </c>
      <c r="AH18" s="54">
        <f t="shared" si="21"/>
        <v>0</v>
      </c>
      <c r="AI18" s="54">
        <f t="shared" si="21"/>
        <v>0</v>
      </c>
      <c r="AJ18" s="54">
        <f t="shared" si="21"/>
        <v>0</v>
      </c>
      <c r="AN18" s="54">
        <f>AN19+AN29+AN30</f>
        <v>0</v>
      </c>
      <c r="AO18" s="54">
        <f>AO19+AO29+AO30</f>
        <v>0</v>
      </c>
      <c r="AP18" s="54">
        <f>AP19+AP29+AP30</f>
        <v>0</v>
      </c>
      <c r="AX18" s="54">
        <f>AX19+AX29+AX30</f>
        <v>0</v>
      </c>
    </row>
    <row r="19" spans="1:59" s="59" customFormat="1" x14ac:dyDescent="0.35">
      <c r="A19" s="59" t="s">
        <v>649</v>
      </c>
      <c r="B19" s="59">
        <f>SUM(B20:B28)</f>
        <v>0</v>
      </c>
      <c r="C19" s="59">
        <f>D19+G19+I19+K19+M19+Q19</f>
        <v>0</v>
      </c>
      <c r="D19" s="59">
        <f>SUM(E19:F19)</f>
        <v>0</v>
      </c>
      <c r="G19" s="59">
        <f>H19</f>
        <v>0</v>
      </c>
      <c r="I19" s="59">
        <f>J19</f>
        <v>0</v>
      </c>
      <c r="K19" s="59">
        <f>L19</f>
        <v>0</v>
      </c>
      <c r="M19" s="59">
        <f>SUM(N19:P19)</f>
        <v>0</v>
      </c>
      <c r="Q19" s="59">
        <f>R19</f>
        <v>0</v>
      </c>
      <c r="S19" s="59">
        <f>T19+W19+Z19+AB19+AE19</f>
        <v>0</v>
      </c>
      <c r="T19" s="59">
        <f>SUM(U19:V19)</f>
        <v>0</v>
      </c>
      <c r="W19" s="59">
        <f>SUM(X19:Y19)</f>
        <v>0</v>
      </c>
      <c r="Y19" s="59">
        <v>0</v>
      </c>
      <c r="Z19" s="59">
        <f>AA19</f>
        <v>0</v>
      </c>
      <c r="AB19" s="59">
        <f>SUM(AC19:AD19)</f>
        <v>0</v>
      </c>
      <c r="AE19" s="59">
        <f>AF19</f>
        <v>0</v>
      </c>
      <c r="AG19" s="59">
        <f>SUM(AG20:AG28)</f>
        <v>0</v>
      </c>
      <c r="AH19" s="59">
        <f>AI19+AJ19</f>
        <v>0</v>
      </c>
      <c r="AJ19" s="59">
        <f>SUM(AK19:AM19)</f>
        <v>0</v>
      </c>
      <c r="AN19" s="59">
        <f>AO19+AP19+AX19</f>
        <v>0</v>
      </c>
      <c r="AP19" s="59">
        <f>SUM(AQ19:AW19)</f>
        <v>0</v>
      </c>
    </row>
    <row r="20" spans="1:59" s="22" customFormat="1" x14ac:dyDescent="0.35">
      <c r="A20" s="34" t="s">
        <v>650</v>
      </c>
      <c r="B20" s="22">
        <f>C20+S20+AG20</f>
        <v>0</v>
      </c>
      <c r="C20" s="22">
        <f t="shared" si="20"/>
        <v>0</v>
      </c>
      <c r="D20" s="22">
        <f t="shared" ref="D20:D30" si="22">SUM(E20:F20)</f>
        <v>0</v>
      </c>
      <c r="G20" s="22">
        <f t="shared" ref="G20:G30" si="23">H20</f>
        <v>0</v>
      </c>
      <c r="I20" s="22">
        <f t="shared" ref="I20:I30" si="24">J20</f>
        <v>0</v>
      </c>
      <c r="K20" s="22">
        <f t="shared" ref="K20:K30" si="25">L20</f>
        <v>0</v>
      </c>
      <c r="L20" s="22">
        <v>0</v>
      </c>
      <c r="M20" s="22">
        <f t="shared" ref="M20:M30" si="26">SUM(N20:P20)</f>
        <v>0</v>
      </c>
      <c r="N20" s="22">
        <v>0</v>
      </c>
      <c r="O20" s="22">
        <v>0</v>
      </c>
      <c r="Q20" s="22">
        <f t="shared" ref="Q20:Q30" si="27">R20</f>
        <v>0</v>
      </c>
      <c r="S20" s="22">
        <f t="shared" ref="S20:S30" si="28">T20+W20+Z20+AB20+AE20</f>
        <v>0</v>
      </c>
      <c r="T20" s="22">
        <f t="shared" ref="T20:T30" si="29">SUM(U20:V20)</f>
        <v>0</v>
      </c>
      <c r="U20" s="22">
        <v>0</v>
      </c>
      <c r="V20" s="22">
        <v>0</v>
      </c>
      <c r="W20" s="22">
        <f t="shared" ref="W20:W30" si="30">SUM(X20:Y20)</f>
        <v>0</v>
      </c>
      <c r="Z20" s="22">
        <f t="shared" ref="Z20:Z30" si="31">AA20</f>
        <v>0</v>
      </c>
      <c r="AB20" s="22">
        <f t="shared" ref="AB20:AB30" si="32">SUM(AC20:AD20)</f>
        <v>0</v>
      </c>
      <c r="AC20" s="22">
        <v>0</v>
      </c>
      <c r="AE20" s="22">
        <f t="shared" ref="AE20:AE30" si="33">AF20</f>
        <v>0</v>
      </c>
      <c r="AG20" s="22">
        <f>AH20+AN20</f>
        <v>0</v>
      </c>
      <c r="AH20" s="22">
        <f t="shared" ref="AH20:AH30" si="34">AI20+AJ20</f>
        <v>0</v>
      </c>
      <c r="AJ20" s="22">
        <f t="shared" ref="AJ20:AJ30" si="35">SUM(AK20:AM20)</f>
        <v>0</v>
      </c>
      <c r="AN20" s="22">
        <f t="shared" ref="AN20:AN30" si="36">AO20+AP20+AX20</f>
        <v>0</v>
      </c>
      <c r="AP20" s="22">
        <f t="shared" ref="AP20:AP30" si="37">SUM(AQ20:AW20)</f>
        <v>0</v>
      </c>
    </row>
    <row r="21" spans="1:59" s="22" customFormat="1" x14ac:dyDescent="0.35">
      <c r="A21" s="34" t="s">
        <v>651</v>
      </c>
      <c r="B21" s="22">
        <f t="shared" ref="B21:B30" si="38">C21+S21+AG21</f>
        <v>0</v>
      </c>
      <c r="C21" s="22">
        <f t="shared" si="20"/>
        <v>0</v>
      </c>
      <c r="D21" s="22">
        <f t="shared" si="22"/>
        <v>0</v>
      </c>
      <c r="G21" s="22">
        <f t="shared" si="23"/>
        <v>0</v>
      </c>
      <c r="I21" s="22">
        <f t="shared" si="24"/>
        <v>0</v>
      </c>
      <c r="K21" s="22">
        <f t="shared" si="25"/>
        <v>0</v>
      </c>
      <c r="L21" s="22">
        <v>0</v>
      </c>
      <c r="M21" s="22">
        <f t="shared" si="26"/>
        <v>0</v>
      </c>
      <c r="N21" s="22">
        <v>0</v>
      </c>
      <c r="O21" s="22">
        <v>0</v>
      </c>
      <c r="P21" s="22">
        <v>0</v>
      </c>
      <c r="Q21" s="22">
        <f t="shared" si="27"/>
        <v>0</v>
      </c>
      <c r="S21" s="22">
        <f t="shared" si="28"/>
        <v>0</v>
      </c>
      <c r="T21" s="22">
        <f t="shared" si="29"/>
        <v>0</v>
      </c>
      <c r="V21" s="22">
        <v>0</v>
      </c>
      <c r="W21" s="22">
        <f t="shared" si="30"/>
        <v>0</v>
      </c>
      <c r="Z21" s="22">
        <f t="shared" si="31"/>
        <v>0</v>
      </c>
      <c r="AB21" s="22">
        <f t="shared" si="32"/>
        <v>0</v>
      </c>
      <c r="AE21" s="22">
        <f t="shared" si="33"/>
        <v>0</v>
      </c>
      <c r="AG21" s="22">
        <f t="shared" ref="AG21:AG30" si="39">AH21+AN21</f>
        <v>0</v>
      </c>
      <c r="AH21" s="22">
        <f t="shared" si="34"/>
        <v>0</v>
      </c>
      <c r="AJ21" s="22">
        <f t="shared" si="35"/>
        <v>0</v>
      </c>
      <c r="AN21" s="22">
        <f t="shared" si="36"/>
        <v>0</v>
      </c>
      <c r="AP21" s="22">
        <f t="shared" si="37"/>
        <v>0</v>
      </c>
    </row>
    <row r="22" spans="1:59" s="22" customFormat="1" x14ac:dyDescent="0.35">
      <c r="A22" s="34" t="s">
        <v>652</v>
      </c>
      <c r="B22" s="22">
        <f t="shared" si="38"/>
        <v>0</v>
      </c>
      <c r="C22" s="22">
        <f t="shared" si="20"/>
        <v>0</v>
      </c>
      <c r="D22" s="22">
        <f t="shared" si="22"/>
        <v>0</v>
      </c>
      <c r="G22" s="22">
        <f t="shared" si="23"/>
        <v>0</v>
      </c>
      <c r="I22" s="22">
        <f t="shared" si="24"/>
        <v>0</v>
      </c>
      <c r="K22" s="22">
        <f t="shared" si="25"/>
        <v>0</v>
      </c>
      <c r="M22" s="22">
        <f t="shared" si="26"/>
        <v>0</v>
      </c>
      <c r="N22" s="22">
        <v>0</v>
      </c>
      <c r="O22" s="22">
        <v>0</v>
      </c>
      <c r="P22" s="24"/>
      <c r="Q22" s="22">
        <f t="shared" si="27"/>
        <v>0</v>
      </c>
      <c r="R22" s="22">
        <v>0</v>
      </c>
      <c r="S22" s="22">
        <f t="shared" si="28"/>
        <v>0</v>
      </c>
      <c r="W22" s="22">
        <f t="shared" si="30"/>
        <v>0</v>
      </c>
      <c r="Z22" s="22">
        <f t="shared" si="31"/>
        <v>0</v>
      </c>
      <c r="AB22" s="22">
        <f t="shared" si="32"/>
        <v>0</v>
      </c>
      <c r="AC22" s="22">
        <v>0</v>
      </c>
      <c r="AE22" s="22">
        <f t="shared" si="33"/>
        <v>0</v>
      </c>
      <c r="AG22" s="22">
        <f t="shared" si="39"/>
        <v>0</v>
      </c>
      <c r="AH22" s="22">
        <f t="shared" si="34"/>
        <v>0</v>
      </c>
      <c r="AJ22" s="22">
        <f t="shared" si="35"/>
        <v>0</v>
      </c>
      <c r="AN22" s="22">
        <f t="shared" si="36"/>
        <v>0</v>
      </c>
      <c r="AP22" s="22">
        <f t="shared" si="37"/>
        <v>0</v>
      </c>
    </row>
    <row r="23" spans="1:59" s="22" customFormat="1" x14ac:dyDescent="0.35">
      <c r="A23" s="34" t="s">
        <v>653</v>
      </c>
      <c r="B23" s="22">
        <f t="shared" si="38"/>
        <v>0</v>
      </c>
      <c r="C23" s="22">
        <f t="shared" si="20"/>
        <v>0</v>
      </c>
      <c r="D23" s="22">
        <f t="shared" si="22"/>
        <v>0</v>
      </c>
      <c r="G23" s="22">
        <f t="shared" si="23"/>
        <v>0</v>
      </c>
      <c r="I23" s="22">
        <f t="shared" si="24"/>
        <v>0</v>
      </c>
      <c r="K23" s="22">
        <f t="shared" si="25"/>
        <v>0</v>
      </c>
      <c r="M23" s="22">
        <f t="shared" si="26"/>
        <v>0</v>
      </c>
      <c r="N23" s="22">
        <v>0</v>
      </c>
      <c r="O23" s="22">
        <v>0</v>
      </c>
      <c r="Q23" s="22">
        <f t="shared" si="27"/>
        <v>0</v>
      </c>
      <c r="R23" s="22">
        <v>0</v>
      </c>
      <c r="S23" s="22">
        <f t="shared" si="28"/>
        <v>0</v>
      </c>
      <c r="T23" s="22">
        <f t="shared" si="29"/>
        <v>0</v>
      </c>
      <c r="U23" s="22">
        <v>0</v>
      </c>
      <c r="V23" s="22">
        <v>0</v>
      </c>
      <c r="W23" s="22">
        <f t="shared" si="30"/>
        <v>0</v>
      </c>
      <c r="Z23" s="22">
        <f t="shared" si="31"/>
        <v>0</v>
      </c>
      <c r="AB23" s="22">
        <f t="shared" si="32"/>
        <v>0</v>
      </c>
      <c r="AE23" s="22">
        <f t="shared" si="33"/>
        <v>0</v>
      </c>
      <c r="AG23" s="22">
        <f>AH23+AN23</f>
        <v>0</v>
      </c>
      <c r="AH23" s="22">
        <f>AI23+AJ23</f>
        <v>0</v>
      </c>
      <c r="AJ23" s="22">
        <f t="shared" si="35"/>
        <v>0</v>
      </c>
      <c r="AN23" s="22">
        <f t="shared" si="36"/>
        <v>0</v>
      </c>
      <c r="AO23" s="22">
        <v>0</v>
      </c>
      <c r="AP23" s="22">
        <f t="shared" si="37"/>
        <v>0</v>
      </c>
    </row>
    <row r="24" spans="1:59" s="22" customFormat="1" x14ac:dyDescent="0.35">
      <c r="A24" s="34" t="s">
        <v>654</v>
      </c>
      <c r="B24" s="22">
        <f t="shared" si="38"/>
        <v>0</v>
      </c>
      <c r="C24" s="22">
        <f t="shared" si="20"/>
        <v>0</v>
      </c>
      <c r="D24" s="22">
        <f t="shared" si="22"/>
        <v>0</v>
      </c>
      <c r="G24" s="22">
        <f t="shared" si="23"/>
        <v>0</v>
      </c>
      <c r="I24" s="22">
        <f t="shared" si="24"/>
        <v>0</v>
      </c>
      <c r="K24" s="22">
        <f t="shared" si="25"/>
        <v>0</v>
      </c>
      <c r="M24" s="22">
        <f t="shared" si="26"/>
        <v>0</v>
      </c>
      <c r="Q24" s="22">
        <f t="shared" si="27"/>
        <v>0</v>
      </c>
      <c r="S24" s="22">
        <f t="shared" si="28"/>
        <v>0</v>
      </c>
      <c r="W24" s="22">
        <f t="shared" si="30"/>
        <v>0</v>
      </c>
      <c r="Z24" s="22">
        <f t="shared" si="31"/>
        <v>0</v>
      </c>
      <c r="AB24" s="22">
        <f t="shared" si="32"/>
        <v>0</v>
      </c>
      <c r="AE24" s="22">
        <f t="shared" si="33"/>
        <v>0</v>
      </c>
      <c r="AG24" s="22">
        <f t="shared" si="39"/>
        <v>0</v>
      </c>
      <c r="AH24" s="22">
        <f t="shared" si="34"/>
        <v>0</v>
      </c>
      <c r="AJ24" s="22">
        <f t="shared" si="35"/>
        <v>0</v>
      </c>
      <c r="AN24" s="22">
        <f t="shared" si="36"/>
        <v>0</v>
      </c>
      <c r="AO24" s="22">
        <v>0</v>
      </c>
      <c r="AP24" s="22">
        <f t="shared" si="37"/>
        <v>0</v>
      </c>
    </row>
    <row r="25" spans="1:59" s="22" customFormat="1" x14ac:dyDescent="0.35">
      <c r="A25" s="34" t="s">
        <v>655</v>
      </c>
      <c r="B25" s="22">
        <f t="shared" si="38"/>
        <v>0</v>
      </c>
      <c r="C25" s="22">
        <f t="shared" si="20"/>
        <v>0</v>
      </c>
      <c r="D25" s="22">
        <f t="shared" si="22"/>
        <v>0</v>
      </c>
      <c r="G25" s="22">
        <f t="shared" si="23"/>
        <v>0</v>
      </c>
      <c r="I25" s="22">
        <f t="shared" si="24"/>
        <v>0</v>
      </c>
      <c r="K25" s="22">
        <f t="shared" si="25"/>
        <v>0</v>
      </c>
      <c r="M25" s="22">
        <f t="shared" si="26"/>
        <v>0</v>
      </c>
      <c r="N25" s="22">
        <v>0</v>
      </c>
      <c r="P25" s="22">
        <v>0</v>
      </c>
      <c r="Q25" s="22">
        <f t="shared" si="27"/>
        <v>0</v>
      </c>
      <c r="S25" s="22">
        <f t="shared" si="28"/>
        <v>0</v>
      </c>
      <c r="T25" s="22">
        <f t="shared" si="29"/>
        <v>0</v>
      </c>
      <c r="V25" s="22">
        <v>0</v>
      </c>
      <c r="W25" s="22">
        <f t="shared" si="30"/>
        <v>0</v>
      </c>
      <c r="Z25" s="22">
        <f t="shared" si="31"/>
        <v>0</v>
      </c>
      <c r="AB25" s="22">
        <f t="shared" si="32"/>
        <v>0</v>
      </c>
      <c r="AE25" s="22">
        <f t="shared" si="33"/>
        <v>0</v>
      </c>
      <c r="AG25" s="22">
        <f t="shared" si="39"/>
        <v>0</v>
      </c>
      <c r="AH25" s="22">
        <f t="shared" si="34"/>
        <v>0</v>
      </c>
      <c r="AJ25" s="22">
        <f t="shared" si="35"/>
        <v>0</v>
      </c>
      <c r="AN25" s="22">
        <f t="shared" si="36"/>
        <v>0</v>
      </c>
      <c r="AO25" s="22">
        <v>0</v>
      </c>
      <c r="AP25" s="22">
        <f t="shared" si="37"/>
        <v>0</v>
      </c>
      <c r="AX25" s="22">
        <v>0</v>
      </c>
    </row>
    <row r="26" spans="1:59" s="22" customFormat="1" x14ac:dyDescent="0.35">
      <c r="A26" s="34" t="s">
        <v>656</v>
      </c>
      <c r="B26" s="22">
        <f t="shared" si="38"/>
        <v>0</v>
      </c>
      <c r="C26" s="22">
        <f t="shared" si="20"/>
        <v>0</v>
      </c>
      <c r="D26" s="22">
        <f t="shared" si="22"/>
        <v>0</v>
      </c>
      <c r="E26" s="22">
        <v>0</v>
      </c>
      <c r="G26" s="22">
        <f t="shared" si="23"/>
        <v>0</v>
      </c>
      <c r="I26" s="22">
        <f t="shared" si="24"/>
        <v>0</v>
      </c>
      <c r="K26" s="22">
        <f t="shared" si="25"/>
        <v>0</v>
      </c>
      <c r="M26" s="22">
        <f t="shared" si="26"/>
        <v>0</v>
      </c>
      <c r="Q26" s="22">
        <f t="shared" si="27"/>
        <v>0</v>
      </c>
      <c r="S26" s="22">
        <f t="shared" si="28"/>
        <v>0</v>
      </c>
      <c r="T26" s="22">
        <f t="shared" si="29"/>
        <v>0</v>
      </c>
      <c r="W26" s="22">
        <f t="shared" si="30"/>
        <v>0</v>
      </c>
      <c r="Z26" s="22">
        <f t="shared" si="31"/>
        <v>0</v>
      </c>
      <c r="AB26" s="22">
        <f t="shared" si="32"/>
        <v>0</v>
      </c>
      <c r="AE26" s="22">
        <f t="shared" si="33"/>
        <v>0</v>
      </c>
      <c r="AG26" s="22">
        <f t="shared" si="39"/>
        <v>0</v>
      </c>
      <c r="AH26" s="22">
        <f t="shared" si="34"/>
        <v>0</v>
      </c>
      <c r="AJ26" s="22">
        <f t="shared" si="35"/>
        <v>0</v>
      </c>
      <c r="AN26" s="22">
        <f t="shared" si="36"/>
        <v>0</v>
      </c>
      <c r="AO26" s="22">
        <v>0</v>
      </c>
      <c r="AP26" s="22">
        <f t="shared" si="37"/>
        <v>0</v>
      </c>
    </row>
    <row r="27" spans="1:59" s="22" customFormat="1" x14ac:dyDescent="0.35">
      <c r="A27" s="34" t="s">
        <v>657</v>
      </c>
      <c r="B27" s="22">
        <f t="shared" si="38"/>
        <v>0</v>
      </c>
      <c r="C27" s="22">
        <f t="shared" si="20"/>
        <v>0</v>
      </c>
      <c r="D27" s="22">
        <f t="shared" si="22"/>
        <v>0</v>
      </c>
      <c r="G27" s="22">
        <f t="shared" si="23"/>
        <v>0</v>
      </c>
      <c r="I27" s="22">
        <f t="shared" si="24"/>
        <v>0</v>
      </c>
      <c r="K27" s="22">
        <f t="shared" si="25"/>
        <v>0</v>
      </c>
      <c r="M27" s="22">
        <f t="shared" si="26"/>
        <v>0</v>
      </c>
      <c r="P27" s="22">
        <v>0</v>
      </c>
      <c r="Q27" s="22">
        <f>R27</f>
        <v>0</v>
      </c>
      <c r="S27" s="22">
        <f t="shared" si="28"/>
        <v>0</v>
      </c>
      <c r="W27" s="22">
        <f t="shared" si="30"/>
        <v>0</v>
      </c>
      <c r="Z27" s="22">
        <f t="shared" si="31"/>
        <v>0</v>
      </c>
      <c r="AB27" s="22">
        <f t="shared" si="32"/>
        <v>0</v>
      </c>
      <c r="AE27" s="22">
        <f t="shared" si="33"/>
        <v>0</v>
      </c>
      <c r="AG27" s="22">
        <f t="shared" si="39"/>
        <v>0</v>
      </c>
      <c r="AH27" s="22">
        <f t="shared" si="34"/>
        <v>0</v>
      </c>
      <c r="AJ27" s="22">
        <f t="shared" si="35"/>
        <v>0</v>
      </c>
      <c r="AN27" s="22">
        <f t="shared" si="36"/>
        <v>0</v>
      </c>
      <c r="AP27" s="22">
        <f t="shared" si="37"/>
        <v>0</v>
      </c>
    </row>
    <row r="28" spans="1:59" s="53" customFormat="1" x14ac:dyDescent="0.35">
      <c r="A28" s="52" t="s">
        <v>370</v>
      </c>
      <c r="B28" s="53">
        <f t="shared" si="38"/>
        <v>0</v>
      </c>
      <c r="C28" s="53">
        <f t="shared" si="20"/>
        <v>0</v>
      </c>
      <c r="D28" s="53">
        <f t="shared" si="22"/>
        <v>0</v>
      </c>
      <c r="F28" s="53">
        <v>0</v>
      </c>
      <c r="G28" s="53">
        <f t="shared" si="23"/>
        <v>0</v>
      </c>
      <c r="I28" s="53">
        <f t="shared" si="24"/>
        <v>0</v>
      </c>
      <c r="K28" s="53">
        <f t="shared" si="25"/>
        <v>0</v>
      </c>
      <c r="M28" s="53">
        <f t="shared" si="26"/>
        <v>0</v>
      </c>
      <c r="P28" s="53">
        <v>0</v>
      </c>
      <c r="Q28" s="53">
        <f t="shared" si="27"/>
        <v>0</v>
      </c>
      <c r="R28" s="53">
        <v>0</v>
      </c>
      <c r="S28" s="53">
        <f t="shared" si="28"/>
        <v>0</v>
      </c>
      <c r="T28" s="53">
        <f t="shared" si="29"/>
        <v>0</v>
      </c>
      <c r="Z28" s="53">
        <f t="shared" si="31"/>
        <v>0</v>
      </c>
      <c r="AB28" s="53">
        <f t="shared" si="32"/>
        <v>0</v>
      </c>
      <c r="AE28" s="53">
        <f t="shared" si="33"/>
        <v>0</v>
      </c>
      <c r="AG28" s="53">
        <f t="shared" si="39"/>
        <v>0</v>
      </c>
      <c r="AH28" s="53">
        <f t="shared" si="34"/>
        <v>0</v>
      </c>
      <c r="AJ28" s="53">
        <f t="shared" si="35"/>
        <v>0</v>
      </c>
      <c r="AN28" s="53">
        <f t="shared" si="36"/>
        <v>0</v>
      </c>
      <c r="AP28" s="53">
        <f t="shared" si="37"/>
        <v>0</v>
      </c>
    </row>
    <row r="29" spans="1:59" s="55" customFormat="1" x14ac:dyDescent="0.35">
      <c r="A29" s="55" t="s">
        <v>658</v>
      </c>
      <c r="B29" s="55">
        <f t="shared" si="38"/>
        <v>0</v>
      </c>
      <c r="C29" s="55">
        <f t="shared" si="20"/>
        <v>0</v>
      </c>
      <c r="D29" s="55">
        <f t="shared" si="22"/>
        <v>0</v>
      </c>
      <c r="G29" s="55">
        <f t="shared" si="23"/>
        <v>0</v>
      </c>
      <c r="H29" s="55">
        <v>0</v>
      </c>
      <c r="I29" s="55">
        <f t="shared" si="24"/>
        <v>0</v>
      </c>
      <c r="J29" s="55">
        <v>0</v>
      </c>
      <c r="K29" s="55">
        <f t="shared" si="25"/>
        <v>0</v>
      </c>
      <c r="M29" s="55">
        <f t="shared" si="26"/>
        <v>0</v>
      </c>
      <c r="Q29" s="55">
        <f t="shared" si="27"/>
        <v>0</v>
      </c>
      <c r="R29" s="55">
        <v>0</v>
      </c>
      <c r="S29" s="55">
        <f t="shared" si="28"/>
        <v>0</v>
      </c>
      <c r="T29" s="55">
        <f t="shared" si="29"/>
        <v>0</v>
      </c>
      <c r="U29" s="55">
        <v>0</v>
      </c>
      <c r="W29" s="55">
        <f t="shared" si="30"/>
        <v>0</v>
      </c>
      <c r="Z29" s="55">
        <f t="shared" si="31"/>
        <v>0</v>
      </c>
      <c r="AA29" s="55">
        <v>0</v>
      </c>
      <c r="AB29" s="55">
        <f t="shared" si="32"/>
        <v>0</v>
      </c>
      <c r="AC29" s="55">
        <v>0</v>
      </c>
      <c r="AD29" s="55">
        <v>0</v>
      </c>
      <c r="AE29" s="55">
        <f t="shared" si="33"/>
        <v>0</v>
      </c>
      <c r="AF29" s="55">
        <v>0</v>
      </c>
      <c r="AG29" s="55">
        <f t="shared" si="39"/>
        <v>0</v>
      </c>
      <c r="AH29" s="55">
        <f t="shared" si="34"/>
        <v>0</v>
      </c>
      <c r="AJ29" s="55">
        <f t="shared" si="35"/>
        <v>0</v>
      </c>
      <c r="AN29" s="55">
        <f t="shared" si="36"/>
        <v>0</v>
      </c>
      <c r="AO29" s="55">
        <v>0</v>
      </c>
      <c r="AP29" s="55">
        <f t="shared" si="37"/>
        <v>0</v>
      </c>
      <c r="AX29" s="55">
        <v>0</v>
      </c>
    </row>
    <row r="30" spans="1:59" s="60" customFormat="1" x14ac:dyDescent="0.35">
      <c r="A30" s="61" t="s">
        <v>659</v>
      </c>
      <c r="B30" s="61">
        <f t="shared" si="38"/>
        <v>0</v>
      </c>
      <c r="C30" s="61">
        <f t="shared" si="20"/>
        <v>0</v>
      </c>
      <c r="D30" s="61">
        <f t="shared" si="22"/>
        <v>0</v>
      </c>
      <c r="E30" s="61"/>
      <c r="F30" s="61">
        <v>0</v>
      </c>
      <c r="G30" s="61">
        <f t="shared" si="23"/>
        <v>0</v>
      </c>
      <c r="H30" s="61">
        <v>0</v>
      </c>
      <c r="I30" s="61">
        <f t="shared" si="24"/>
        <v>0</v>
      </c>
      <c r="J30" s="61"/>
      <c r="K30" s="61">
        <f t="shared" si="25"/>
        <v>0</v>
      </c>
      <c r="L30" s="61"/>
      <c r="M30" s="61">
        <f t="shared" si="26"/>
        <v>0</v>
      </c>
      <c r="N30" s="61"/>
      <c r="O30" s="61"/>
      <c r="P30" s="61"/>
      <c r="Q30" s="61">
        <f t="shared" si="27"/>
        <v>0</v>
      </c>
      <c r="R30" s="61">
        <v>0</v>
      </c>
      <c r="S30" s="61">
        <f t="shared" si="28"/>
        <v>0</v>
      </c>
      <c r="T30" s="61">
        <f t="shared" si="29"/>
        <v>0</v>
      </c>
      <c r="U30" s="61">
        <v>0</v>
      </c>
      <c r="V30" s="61"/>
      <c r="W30" s="61">
        <f t="shared" si="30"/>
        <v>0</v>
      </c>
      <c r="X30" s="61"/>
      <c r="Y30" s="61"/>
      <c r="Z30" s="61">
        <f t="shared" si="31"/>
        <v>0</v>
      </c>
      <c r="AA30" s="61">
        <v>0</v>
      </c>
      <c r="AB30" s="61">
        <f t="shared" si="32"/>
        <v>0</v>
      </c>
      <c r="AC30" s="61">
        <v>0</v>
      </c>
      <c r="AD30" s="61">
        <v>0</v>
      </c>
      <c r="AE30" s="61">
        <f t="shared" si="33"/>
        <v>0</v>
      </c>
      <c r="AF30" s="61"/>
      <c r="AG30" s="61">
        <f t="shared" si="39"/>
        <v>0</v>
      </c>
      <c r="AH30" s="61">
        <f t="shared" si="34"/>
        <v>0</v>
      </c>
      <c r="AI30" s="61"/>
      <c r="AJ30" s="61">
        <f t="shared" si="35"/>
        <v>0</v>
      </c>
      <c r="AK30" s="61"/>
      <c r="AL30" s="61"/>
      <c r="AM30" s="61"/>
      <c r="AN30" s="61">
        <f t="shared" si="36"/>
        <v>0</v>
      </c>
      <c r="AO30" s="61">
        <v>0</v>
      </c>
      <c r="AP30" s="61">
        <f t="shared" si="37"/>
        <v>0</v>
      </c>
      <c r="AQ30" s="61"/>
      <c r="AR30" s="61"/>
      <c r="AS30" s="61"/>
      <c r="AT30" s="61"/>
      <c r="AU30" s="61"/>
      <c r="AV30" s="61"/>
      <c r="AW30" s="61"/>
      <c r="AX30" s="61">
        <f t="shared" ref="AX30" si="40">SUM(AY30:BD30)</f>
        <v>0</v>
      </c>
    </row>
    <row r="31" spans="1:59" s="54" customFormat="1" x14ac:dyDescent="0.35">
      <c r="A31" s="54" t="s">
        <v>660</v>
      </c>
      <c r="B31" s="54">
        <f>SUM(B32:B35)</f>
        <v>0</v>
      </c>
      <c r="C31" s="54">
        <f t="shared" ref="C31:AW31" si="41">SUM(C32:C35)</f>
        <v>0</v>
      </c>
      <c r="D31" s="54">
        <f t="shared" si="41"/>
        <v>0</v>
      </c>
      <c r="E31" s="54">
        <f t="shared" si="41"/>
        <v>0</v>
      </c>
      <c r="F31" s="54">
        <f t="shared" si="41"/>
        <v>0</v>
      </c>
      <c r="G31" s="54">
        <f t="shared" si="41"/>
        <v>0</v>
      </c>
      <c r="H31" s="54">
        <f t="shared" si="41"/>
        <v>0</v>
      </c>
      <c r="I31" s="54">
        <f t="shared" si="41"/>
        <v>0</v>
      </c>
      <c r="J31" s="54">
        <f t="shared" si="41"/>
        <v>0</v>
      </c>
      <c r="K31" s="54">
        <f t="shared" si="41"/>
        <v>0</v>
      </c>
      <c r="L31" s="54">
        <f t="shared" si="41"/>
        <v>0</v>
      </c>
      <c r="M31" s="54">
        <f t="shared" si="41"/>
        <v>0</v>
      </c>
      <c r="N31" s="54">
        <f t="shared" si="41"/>
        <v>0</v>
      </c>
      <c r="O31" s="54">
        <f t="shared" si="41"/>
        <v>0</v>
      </c>
      <c r="P31" s="54">
        <f t="shared" si="41"/>
        <v>0</v>
      </c>
      <c r="Q31" s="54">
        <f t="shared" si="41"/>
        <v>0</v>
      </c>
      <c r="R31" s="54">
        <f t="shared" si="41"/>
        <v>0</v>
      </c>
      <c r="S31" s="54">
        <f t="shared" si="41"/>
        <v>0</v>
      </c>
      <c r="T31" s="54">
        <f t="shared" si="41"/>
        <v>0</v>
      </c>
      <c r="U31" s="54">
        <f t="shared" si="41"/>
        <v>0</v>
      </c>
      <c r="V31" s="54">
        <f t="shared" si="41"/>
        <v>0</v>
      </c>
      <c r="W31" s="54">
        <f t="shared" si="41"/>
        <v>0</v>
      </c>
      <c r="X31" s="54">
        <f t="shared" si="41"/>
        <v>0</v>
      </c>
      <c r="Y31" s="54">
        <f t="shared" si="41"/>
        <v>0</v>
      </c>
      <c r="Z31" s="54">
        <f t="shared" si="41"/>
        <v>0</v>
      </c>
      <c r="AA31" s="54">
        <f t="shared" si="41"/>
        <v>0</v>
      </c>
      <c r="AB31" s="54">
        <f t="shared" si="41"/>
        <v>0</v>
      </c>
      <c r="AC31" s="54">
        <f t="shared" si="41"/>
        <v>0</v>
      </c>
      <c r="AD31" s="54">
        <f t="shared" si="41"/>
        <v>0</v>
      </c>
      <c r="AE31" s="54">
        <f t="shared" si="41"/>
        <v>0</v>
      </c>
      <c r="AF31" s="54">
        <f t="shared" si="41"/>
        <v>0</v>
      </c>
      <c r="AG31" s="54">
        <f t="shared" si="41"/>
        <v>0</v>
      </c>
      <c r="AH31" s="54">
        <f t="shared" si="41"/>
        <v>0</v>
      </c>
      <c r="AI31" s="54">
        <f t="shared" si="41"/>
        <v>0</v>
      </c>
      <c r="AJ31" s="54">
        <f t="shared" si="41"/>
        <v>0</v>
      </c>
      <c r="AK31" s="54">
        <f t="shared" si="41"/>
        <v>0</v>
      </c>
      <c r="AL31" s="54">
        <f t="shared" si="41"/>
        <v>0</v>
      </c>
      <c r="AM31" s="54">
        <f t="shared" si="41"/>
        <v>0</v>
      </c>
      <c r="AN31" s="54">
        <f t="shared" si="41"/>
        <v>0</v>
      </c>
      <c r="AO31" s="54">
        <f t="shared" si="41"/>
        <v>0</v>
      </c>
      <c r="AP31" s="54">
        <f t="shared" si="41"/>
        <v>0</v>
      </c>
      <c r="AQ31" s="54">
        <f t="shared" si="41"/>
        <v>0</v>
      </c>
      <c r="AR31" s="54">
        <f t="shared" si="41"/>
        <v>0</v>
      </c>
      <c r="AS31" s="54">
        <f t="shared" si="41"/>
        <v>0</v>
      </c>
      <c r="AT31" s="54">
        <f t="shared" si="41"/>
        <v>0</v>
      </c>
      <c r="AU31" s="54">
        <f t="shared" si="41"/>
        <v>0</v>
      </c>
      <c r="AV31" s="54">
        <f t="shared" si="41"/>
        <v>0</v>
      </c>
      <c r="AW31" s="54">
        <f t="shared" si="41"/>
        <v>0</v>
      </c>
    </row>
    <row r="32" spans="1:59" x14ac:dyDescent="0.35">
      <c r="A32" s="72" t="s">
        <v>608</v>
      </c>
      <c r="B32" s="22">
        <f t="shared" ref="B32:B42" si="42">C32+S32+AG32</f>
        <v>0</v>
      </c>
      <c r="C32" s="22">
        <f t="shared" ref="C32:C42" si="43">D32+G32+I32+K32+M32+Q32</f>
        <v>0</v>
      </c>
      <c r="D32" s="22">
        <f t="shared" ref="D32:D40" si="44">SUM(E32:F32)</f>
        <v>0</v>
      </c>
      <c r="E32" s="24"/>
      <c r="F32" s="22"/>
      <c r="G32" s="22">
        <f t="shared" ref="G32:G42" si="45">H32</f>
        <v>0</v>
      </c>
      <c r="H32" s="22"/>
      <c r="I32" s="22">
        <f t="shared" ref="I32:I42" si="46">J32</f>
        <v>0</v>
      </c>
      <c r="J32" s="24"/>
      <c r="K32" s="22">
        <f t="shared" ref="K32:K42" si="47">L32</f>
        <v>0</v>
      </c>
      <c r="L32" s="22"/>
      <c r="M32" s="22">
        <f t="shared" ref="M32:M42" si="48">SUM(N32:P32)</f>
        <v>0</v>
      </c>
      <c r="N32" s="22"/>
      <c r="O32" s="22"/>
      <c r="P32" s="22"/>
      <c r="Q32" s="22">
        <f t="shared" ref="Q32:Q42" si="49">R32</f>
        <v>0</v>
      </c>
      <c r="R32" s="24"/>
      <c r="S32" s="22">
        <f t="shared" ref="S32:S42" si="50">T32+W32+Z32+AB32+AE32</f>
        <v>0</v>
      </c>
      <c r="T32" s="22">
        <f t="shared" ref="T32:T41" si="51">SUM(U32:V32)</f>
        <v>0</v>
      </c>
      <c r="U32" s="24"/>
      <c r="V32" s="23"/>
      <c r="W32" s="22">
        <f t="shared" ref="W32:W42" si="52">SUM(X32:Y32)</f>
        <v>0</v>
      </c>
      <c r="X32" s="24"/>
      <c r="Y32" s="22"/>
      <c r="Z32" s="22">
        <f t="shared" ref="Z32:Z42" si="53">AA32</f>
        <v>0</v>
      </c>
      <c r="AA32" s="22"/>
      <c r="AB32" s="22">
        <f t="shared" ref="AB32:AB42" si="54">SUM(AC32:AD32)</f>
        <v>0</v>
      </c>
      <c r="AC32" s="22"/>
      <c r="AD32" s="22"/>
      <c r="AE32" s="22">
        <f t="shared" ref="AE32:AE42" si="55">AF32</f>
        <v>0</v>
      </c>
      <c r="AF32" s="22"/>
      <c r="AG32" s="22">
        <f t="shared" ref="AG32:AG42" si="56">AH32+AN32</f>
        <v>0</v>
      </c>
      <c r="AH32" s="22">
        <f t="shared" ref="AH32:AH42" si="57">AI32+AJ32</f>
        <v>0</v>
      </c>
      <c r="AI32" s="24"/>
      <c r="AJ32" s="22">
        <f t="shared" ref="AJ32:AJ42" si="58">SUM(AK32:AM32)</f>
        <v>0</v>
      </c>
      <c r="AK32" s="22"/>
      <c r="AL32" s="22"/>
      <c r="AM32" s="22"/>
      <c r="AN32" s="22">
        <f t="shared" ref="AN32:AN42" si="59">AO32+AP32+AX32</f>
        <v>0</v>
      </c>
      <c r="AO32" s="22"/>
      <c r="AP32" s="22">
        <f t="shared" ref="AP32:AP42" si="60">SUM(AQ32:AW32)</f>
        <v>0</v>
      </c>
      <c r="AQ32" s="22"/>
      <c r="AR32" s="22"/>
      <c r="AS32" s="22"/>
      <c r="AT32" s="22"/>
      <c r="AU32" s="22"/>
      <c r="AV32" s="22"/>
      <c r="AW32" s="22"/>
      <c r="AX32" s="22"/>
      <c r="AY32" s="22">
        <f>BE32+BF32+BG32</f>
        <v>157492267.95000011</v>
      </c>
      <c r="AZ32" s="22">
        <v>76571863.679999977</v>
      </c>
      <c r="BA32" s="22">
        <v>2043325.7900000005</v>
      </c>
      <c r="BB32" s="22"/>
      <c r="BC32" s="9">
        <v>11761489.540000016</v>
      </c>
      <c r="BD32" s="9">
        <v>57906139.810000002</v>
      </c>
      <c r="BE32" s="9">
        <v>64855862.980000071</v>
      </c>
      <c r="BF32" s="9">
        <v>1629898.9100000008</v>
      </c>
      <c r="BG32" s="9">
        <v>91006506.060000047</v>
      </c>
    </row>
    <row r="33" spans="1:59" x14ac:dyDescent="0.35">
      <c r="A33" s="72" t="s">
        <v>661</v>
      </c>
      <c r="B33" s="22">
        <f t="shared" si="42"/>
        <v>0</v>
      </c>
      <c r="C33" s="22">
        <f t="shared" si="43"/>
        <v>0</v>
      </c>
      <c r="D33" s="22">
        <f t="shared" si="44"/>
        <v>0</v>
      </c>
      <c r="E33" s="24"/>
      <c r="F33" s="22"/>
      <c r="G33" s="22">
        <f t="shared" si="45"/>
        <v>0</v>
      </c>
      <c r="H33" s="22"/>
      <c r="I33" s="22">
        <f t="shared" si="46"/>
        <v>0</v>
      </c>
      <c r="J33" s="24">
        <v>0</v>
      </c>
      <c r="K33" s="22">
        <f t="shared" si="47"/>
        <v>0</v>
      </c>
      <c r="L33" s="22"/>
      <c r="M33" s="22">
        <f t="shared" si="48"/>
        <v>0</v>
      </c>
      <c r="N33" s="22"/>
      <c r="O33" s="22"/>
      <c r="P33" s="22"/>
      <c r="Q33" s="22">
        <f t="shared" si="49"/>
        <v>0</v>
      </c>
      <c r="R33" s="24"/>
      <c r="S33" s="22">
        <f t="shared" si="50"/>
        <v>0</v>
      </c>
      <c r="T33" s="22">
        <f t="shared" si="51"/>
        <v>0</v>
      </c>
      <c r="U33" s="24"/>
      <c r="V33" s="23"/>
      <c r="W33" s="22">
        <f t="shared" si="52"/>
        <v>0</v>
      </c>
      <c r="X33" s="24"/>
      <c r="Y33" s="22"/>
      <c r="Z33" s="22">
        <f t="shared" si="53"/>
        <v>0</v>
      </c>
      <c r="AA33" s="22">
        <v>0</v>
      </c>
      <c r="AB33" s="22">
        <f t="shared" si="54"/>
        <v>0</v>
      </c>
      <c r="AC33" s="22"/>
      <c r="AD33" s="22"/>
      <c r="AE33" s="22">
        <f t="shared" si="55"/>
        <v>0</v>
      </c>
      <c r="AF33" s="22"/>
      <c r="AG33" s="22">
        <f t="shared" si="56"/>
        <v>0</v>
      </c>
      <c r="AH33" s="22">
        <f t="shared" si="57"/>
        <v>0</v>
      </c>
      <c r="AI33" s="24"/>
      <c r="AJ33" s="22">
        <f t="shared" si="58"/>
        <v>0</v>
      </c>
      <c r="AK33" s="22"/>
      <c r="AL33" s="22"/>
      <c r="AM33" s="22"/>
      <c r="AN33" s="22">
        <f t="shared" si="59"/>
        <v>0</v>
      </c>
      <c r="AO33" s="22"/>
      <c r="AP33" s="22">
        <f t="shared" si="60"/>
        <v>0</v>
      </c>
      <c r="AQ33" s="22"/>
      <c r="AR33" s="22"/>
      <c r="AS33" s="22"/>
      <c r="AT33" s="22"/>
      <c r="AU33" s="22"/>
      <c r="AV33" s="22"/>
      <c r="AW33" s="22"/>
      <c r="AX33" s="22">
        <v>0</v>
      </c>
      <c r="AY33" s="22"/>
      <c r="AZ33" s="22"/>
      <c r="BA33" s="22"/>
      <c r="BB33" s="22"/>
      <c r="BC33" s="9"/>
      <c r="BD33" s="9"/>
      <c r="BE33" s="9"/>
      <c r="BF33" s="9"/>
      <c r="BG33" s="9"/>
    </row>
    <row r="34" spans="1:59" x14ac:dyDescent="0.35">
      <c r="A34" s="72" t="s">
        <v>662</v>
      </c>
      <c r="B34" s="22">
        <f t="shared" si="42"/>
        <v>0</v>
      </c>
      <c r="C34" s="22">
        <f t="shared" si="43"/>
        <v>0</v>
      </c>
      <c r="D34" s="22">
        <f t="shared" si="44"/>
        <v>0</v>
      </c>
      <c r="E34" s="24"/>
      <c r="F34" s="22"/>
      <c r="G34" s="22">
        <f t="shared" si="45"/>
        <v>0</v>
      </c>
      <c r="H34" s="22"/>
      <c r="I34" s="22">
        <f t="shared" si="46"/>
        <v>0</v>
      </c>
      <c r="J34" s="24"/>
      <c r="K34" s="22">
        <f t="shared" si="47"/>
        <v>0</v>
      </c>
      <c r="L34" s="22"/>
      <c r="M34" s="22">
        <f t="shared" si="48"/>
        <v>0</v>
      </c>
      <c r="N34" s="22"/>
      <c r="O34" s="22"/>
      <c r="P34" s="22"/>
      <c r="Q34" s="22">
        <f t="shared" si="49"/>
        <v>0</v>
      </c>
      <c r="R34" s="24"/>
      <c r="S34" s="22">
        <f t="shared" si="50"/>
        <v>0</v>
      </c>
      <c r="T34" s="22">
        <f t="shared" si="51"/>
        <v>0</v>
      </c>
      <c r="U34" s="24"/>
      <c r="V34" s="23"/>
      <c r="W34" s="22">
        <f t="shared" si="52"/>
        <v>0</v>
      </c>
      <c r="X34" s="24"/>
      <c r="Y34" s="22"/>
      <c r="Z34" s="22">
        <f t="shared" si="53"/>
        <v>0</v>
      </c>
      <c r="AA34" s="22"/>
      <c r="AB34" s="22">
        <f t="shared" si="54"/>
        <v>0</v>
      </c>
      <c r="AC34" s="22"/>
      <c r="AD34" s="22"/>
      <c r="AE34" s="22">
        <f t="shared" si="55"/>
        <v>0</v>
      </c>
      <c r="AF34" s="22"/>
      <c r="AG34" s="22">
        <f t="shared" si="56"/>
        <v>0</v>
      </c>
      <c r="AH34" s="22">
        <f t="shared" si="57"/>
        <v>0</v>
      </c>
      <c r="AI34" s="24"/>
      <c r="AJ34" s="22">
        <f t="shared" si="58"/>
        <v>0</v>
      </c>
      <c r="AK34" s="22"/>
      <c r="AL34" s="22"/>
      <c r="AM34" s="22"/>
      <c r="AN34" s="22">
        <f t="shared" si="59"/>
        <v>0</v>
      </c>
      <c r="AO34" s="22"/>
      <c r="AP34" s="22">
        <f t="shared" si="60"/>
        <v>0</v>
      </c>
      <c r="AQ34" s="22"/>
      <c r="AR34" s="22"/>
      <c r="AS34" s="22"/>
      <c r="AT34" s="22"/>
      <c r="AU34" s="22"/>
      <c r="AV34" s="22"/>
      <c r="AW34" s="22"/>
      <c r="AX34" s="22"/>
      <c r="AY34" s="22">
        <f>BE34+BF34+BG34</f>
        <v>903265191.97150755</v>
      </c>
      <c r="AZ34" s="22">
        <v>354876667.02000016</v>
      </c>
      <c r="BA34" s="22">
        <v>18415313.719999988</v>
      </c>
      <c r="BB34" s="22"/>
      <c r="BC34" s="9">
        <v>55792439.909999914</v>
      </c>
      <c r="BD34" s="9">
        <v>73822960.490000054</v>
      </c>
      <c r="BE34" s="9">
        <v>277582157.61999792</v>
      </c>
      <c r="BF34" s="9">
        <v>780646.98000000045</v>
      </c>
      <c r="BG34" s="9">
        <v>624902387.37150955</v>
      </c>
    </row>
    <row r="35" spans="1:59" x14ac:dyDescent="0.35">
      <c r="A35" s="72" t="s">
        <v>663</v>
      </c>
      <c r="B35" s="22">
        <f t="shared" si="42"/>
        <v>0</v>
      </c>
      <c r="C35" s="22">
        <f t="shared" si="43"/>
        <v>0</v>
      </c>
      <c r="D35" s="22">
        <f t="shared" si="44"/>
        <v>0</v>
      </c>
      <c r="E35" s="24"/>
      <c r="F35" s="22"/>
      <c r="G35" s="22">
        <f t="shared" si="45"/>
        <v>0</v>
      </c>
      <c r="H35" s="22"/>
      <c r="I35" s="22">
        <f t="shared" si="46"/>
        <v>0</v>
      </c>
      <c r="J35" s="24"/>
      <c r="K35" s="22">
        <f t="shared" si="47"/>
        <v>0</v>
      </c>
      <c r="L35" s="22"/>
      <c r="M35" s="22">
        <f t="shared" si="48"/>
        <v>0</v>
      </c>
      <c r="N35" s="22"/>
      <c r="O35" s="22"/>
      <c r="P35" s="22"/>
      <c r="Q35" s="22">
        <f t="shared" si="49"/>
        <v>0</v>
      </c>
      <c r="R35" s="24"/>
      <c r="S35" s="22">
        <f t="shared" si="50"/>
        <v>0</v>
      </c>
      <c r="T35" s="22">
        <f t="shared" si="51"/>
        <v>0</v>
      </c>
      <c r="U35" s="24"/>
      <c r="V35" s="23"/>
      <c r="W35" s="22">
        <f t="shared" si="52"/>
        <v>0</v>
      </c>
      <c r="X35" s="24"/>
      <c r="Y35" s="22">
        <v>0</v>
      </c>
      <c r="Z35" s="22">
        <f t="shared" si="53"/>
        <v>0</v>
      </c>
      <c r="AA35" s="22"/>
      <c r="AB35" s="22">
        <f t="shared" si="54"/>
        <v>0</v>
      </c>
      <c r="AC35" s="22"/>
      <c r="AD35" s="22"/>
      <c r="AE35" s="22">
        <f t="shared" si="55"/>
        <v>0</v>
      </c>
      <c r="AF35" s="22"/>
      <c r="AG35" s="22">
        <f t="shared" si="56"/>
        <v>0</v>
      </c>
      <c r="AH35" s="22">
        <f t="shared" si="57"/>
        <v>0</v>
      </c>
      <c r="AI35" s="24"/>
      <c r="AJ35" s="22">
        <f t="shared" si="58"/>
        <v>0</v>
      </c>
      <c r="AK35" s="22"/>
      <c r="AL35" s="22"/>
      <c r="AM35" s="22"/>
      <c r="AN35" s="22">
        <f t="shared" si="59"/>
        <v>0</v>
      </c>
      <c r="AO35" s="22"/>
      <c r="AP35" s="22">
        <f t="shared" si="60"/>
        <v>0</v>
      </c>
      <c r="AQ35" s="22"/>
      <c r="AR35" s="22"/>
      <c r="AS35" s="22"/>
      <c r="AT35" s="22"/>
      <c r="AU35" s="22"/>
      <c r="AV35" s="22"/>
      <c r="AW35" s="22"/>
      <c r="AX35" s="22"/>
      <c r="AY35" s="22">
        <f>BE35+BF35+BG35</f>
        <v>27256082.002691068</v>
      </c>
      <c r="AZ35" s="22">
        <v>44212767.867967941</v>
      </c>
      <c r="BA35" s="22">
        <v>74917.75</v>
      </c>
      <c r="BB35" s="22"/>
      <c r="BC35" s="9">
        <v>1340586.6499999987</v>
      </c>
      <c r="BD35" s="9">
        <v>15077889.760000004</v>
      </c>
      <c r="BE35" s="9">
        <v>5367689.9099999983</v>
      </c>
      <c r="BF35" s="9"/>
      <c r="BG35" s="9">
        <v>21888392.092691068</v>
      </c>
    </row>
    <row r="36" spans="1:59" x14ac:dyDescent="0.35">
      <c r="A36" s="59" t="s">
        <v>664</v>
      </c>
      <c r="B36">
        <f t="shared" si="42"/>
        <v>0</v>
      </c>
      <c r="C36">
        <f t="shared" si="43"/>
        <v>0</v>
      </c>
      <c r="D36">
        <f t="shared" si="44"/>
        <v>0</v>
      </c>
      <c r="G36">
        <f t="shared" si="45"/>
        <v>0</v>
      </c>
      <c r="I36">
        <f t="shared" si="46"/>
        <v>0</v>
      </c>
      <c r="K36">
        <f t="shared" si="47"/>
        <v>0</v>
      </c>
      <c r="M36">
        <f t="shared" si="48"/>
        <v>0</v>
      </c>
      <c r="P36">
        <v>0</v>
      </c>
      <c r="Q36">
        <f t="shared" si="49"/>
        <v>0</v>
      </c>
      <c r="S36">
        <f t="shared" si="50"/>
        <v>0</v>
      </c>
      <c r="T36">
        <f t="shared" si="51"/>
        <v>0</v>
      </c>
      <c r="W36">
        <f t="shared" si="52"/>
        <v>0</v>
      </c>
      <c r="Z36">
        <f t="shared" si="53"/>
        <v>0</v>
      </c>
      <c r="AB36">
        <f t="shared" si="54"/>
        <v>0</v>
      </c>
      <c r="AE36">
        <f t="shared" si="55"/>
        <v>0</v>
      </c>
      <c r="AG36">
        <f t="shared" si="56"/>
        <v>0</v>
      </c>
      <c r="AH36">
        <f t="shared" si="57"/>
        <v>0</v>
      </c>
      <c r="AI36" s="7"/>
      <c r="AJ36">
        <f t="shared" si="58"/>
        <v>0</v>
      </c>
      <c r="AN36">
        <f t="shared" si="59"/>
        <v>0</v>
      </c>
      <c r="AP36">
        <f t="shared" si="60"/>
        <v>0</v>
      </c>
      <c r="AX36">
        <f>SUM(AY36:BD36)</f>
        <v>0</v>
      </c>
    </row>
    <row r="37" spans="1:59" x14ac:dyDescent="0.35">
      <c r="A37" s="59" t="s">
        <v>665</v>
      </c>
      <c r="B37">
        <f t="shared" si="42"/>
        <v>0</v>
      </c>
      <c r="C37">
        <f t="shared" si="43"/>
        <v>0</v>
      </c>
      <c r="D37">
        <f t="shared" si="44"/>
        <v>0</v>
      </c>
      <c r="G37">
        <f t="shared" si="45"/>
        <v>0</v>
      </c>
      <c r="I37">
        <f t="shared" si="46"/>
        <v>0</v>
      </c>
      <c r="K37">
        <f t="shared" si="47"/>
        <v>0</v>
      </c>
      <c r="M37">
        <f t="shared" si="48"/>
        <v>0</v>
      </c>
      <c r="P37">
        <v>0</v>
      </c>
      <c r="Q37">
        <f t="shared" si="49"/>
        <v>0</v>
      </c>
      <c r="S37">
        <f t="shared" si="50"/>
        <v>0</v>
      </c>
      <c r="T37">
        <f t="shared" si="51"/>
        <v>0</v>
      </c>
      <c r="U37" s="8"/>
      <c r="W37">
        <f t="shared" si="52"/>
        <v>0</v>
      </c>
      <c r="Z37">
        <f t="shared" si="53"/>
        <v>0</v>
      </c>
      <c r="AB37">
        <f t="shared" si="54"/>
        <v>0</v>
      </c>
      <c r="AE37">
        <f t="shared" si="55"/>
        <v>0</v>
      </c>
      <c r="AG37">
        <f t="shared" si="56"/>
        <v>0</v>
      </c>
      <c r="AH37">
        <f t="shared" si="57"/>
        <v>0</v>
      </c>
      <c r="AJ37">
        <f t="shared" si="58"/>
        <v>0</v>
      </c>
      <c r="AN37">
        <f t="shared" si="59"/>
        <v>0</v>
      </c>
      <c r="AP37">
        <f t="shared" si="60"/>
        <v>0</v>
      </c>
      <c r="AX37">
        <f>SUM(AY37:BD37)</f>
        <v>0</v>
      </c>
    </row>
    <row r="38" spans="1:59" x14ac:dyDescent="0.35">
      <c r="A38" s="59" t="s">
        <v>666</v>
      </c>
      <c r="B38">
        <f t="shared" si="42"/>
        <v>0</v>
      </c>
      <c r="C38">
        <f t="shared" si="43"/>
        <v>0</v>
      </c>
      <c r="D38">
        <f t="shared" si="44"/>
        <v>0</v>
      </c>
      <c r="G38">
        <f t="shared" si="45"/>
        <v>0</v>
      </c>
      <c r="I38">
        <f t="shared" si="46"/>
        <v>0</v>
      </c>
      <c r="K38">
        <f t="shared" si="47"/>
        <v>0</v>
      </c>
      <c r="M38">
        <f t="shared" si="48"/>
        <v>0</v>
      </c>
      <c r="P38">
        <v>0</v>
      </c>
      <c r="Q38">
        <f t="shared" si="49"/>
        <v>0</v>
      </c>
      <c r="S38">
        <f t="shared" si="50"/>
        <v>0</v>
      </c>
      <c r="T38">
        <f t="shared" si="51"/>
        <v>0</v>
      </c>
      <c r="U38" s="8"/>
      <c r="W38">
        <f t="shared" si="52"/>
        <v>0</v>
      </c>
      <c r="Z38">
        <f t="shared" si="53"/>
        <v>0</v>
      </c>
      <c r="AB38">
        <f t="shared" si="54"/>
        <v>0</v>
      </c>
      <c r="AE38">
        <f t="shared" si="55"/>
        <v>0</v>
      </c>
      <c r="AG38">
        <f t="shared" si="56"/>
        <v>0</v>
      </c>
      <c r="AH38">
        <f t="shared" si="57"/>
        <v>0</v>
      </c>
      <c r="AJ38">
        <f t="shared" si="58"/>
        <v>0</v>
      </c>
      <c r="AN38">
        <f t="shared" si="59"/>
        <v>0</v>
      </c>
      <c r="AP38">
        <f t="shared" si="60"/>
        <v>0</v>
      </c>
      <c r="AX38">
        <f>SUM(AY38:BD38)</f>
        <v>0</v>
      </c>
    </row>
    <row r="39" spans="1:59" x14ac:dyDescent="0.35">
      <c r="A39" s="62" t="s">
        <v>667</v>
      </c>
      <c r="B39" s="32">
        <f t="shared" si="42"/>
        <v>0</v>
      </c>
      <c r="C39" s="32">
        <f t="shared" si="43"/>
        <v>0</v>
      </c>
      <c r="D39" s="32">
        <f t="shared" si="44"/>
        <v>0</v>
      </c>
      <c r="E39" s="32"/>
      <c r="F39" s="32"/>
      <c r="G39" s="32">
        <f t="shared" si="45"/>
        <v>0</v>
      </c>
      <c r="H39" s="32"/>
      <c r="I39" s="32">
        <f t="shared" si="46"/>
        <v>0</v>
      </c>
      <c r="J39" s="32"/>
      <c r="K39" s="32">
        <f t="shared" si="47"/>
        <v>0</v>
      </c>
      <c r="L39" s="32"/>
      <c r="M39" s="32">
        <f t="shared" si="48"/>
        <v>0</v>
      </c>
      <c r="N39" s="32"/>
      <c r="O39" s="32"/>
      <c r="P39" s="32">
        <v>0</v>
      </c>
      <c r="Q39" s="32">
        <f t="shared" si="49"/>
        <v>0</v>
      </c>
      <c r="R39" s="32"/>
      <c r="S39" s="32">
        <f t="shared" si="50"/>
        <v>0</v>
      </c>
      <c r="T39" s="32">
        <f t="shared" si="51"/>
        <v>0</v>
      </c>
      <c r="U39" s="63"/>
      <c r="V39" s="32"/>
      <c r="W39" s="32">
        <f t="shared" si="52"/>
        <v>0</v>
      </c>
      <c r="X39" s="32"/>
      <c r="Y39" s="32"/>
      <c r="Z39" s="32">
        <f t="shared" si="53"/>
        <v>0</v>
      </c>
      <c r="AA39" s="32"/>
      <c r="AB39" s="32">
        <f t="shared" si="54"/>
        <v>0</v>
      </c>
      <c r="AC39" s="32"/>
      <c r="AD39" s="32"/>
      <c r="AE39" s="32">
        <f t="shared" si="55"/>
        <v>0</v>
      </c>
      <c r="AF39" s="32"/>
      <c r="AG39" s="32">
        <f t="shared" si="56"/>
        <v>0</v>
      </c>
      <c r="AH39" s="32">
        <f t="shared" si="57"/>
        <v>0</v>
      </c>
      <c r="AI39" s="32"/>
      <c r="AJ39" s="32">
        <f t="shared" si="58"/>
        <v>0</v>
      </c>
      <c r="AK39" s="32"/>
      <c r="AL39" s="32"/>
      <c r="AM39" s="32"/>
      <c r="AN39" s="32">
        <f t="shared" si="59"/>
        <v>0</v>
      </c>
      <c r="AO39" s="32"/>
      <c r="AP39" s="32">
        <f t="shared" si="60"/>
        <v>0</v>
      </c>
      <c r="AQ39" s="32"/>
      <c r="AR39" s="32"/>
      <c r="AS39" s="32"/>
      <c r="AT39" s="32"/>
      <c r="AU39" s="32"/>
      <c r="AV39" s="32"/>
      <c r="AW39" s="32"/>
      <c r="AX39" s="32">
        <f>SUM(AY39:BD39)</f>
        <v>0</v>
      </c>
    </row>
    <row r="40" spans="1:59" s="18" customFormat="1" x14ac:dyDescent="0.35">
      <c r="A40" s="47" t="s">
        <v>668</v>
      </c>
      <c r="B40" s="47">
        <f t="shared" si="42"/>
        <v>0</v>
      </c>
      <c r="C40" s="47">
        <f t="shared" si="43"/>
        <v>0</v>
      </c>
      <c r="D40" s="47">
        <f t="shared" si="44"/>
        <v>0</v>
      </c>
      <c r="E40" s="47"/>
      <c r="F40" s="48">
        <v>0</v>
      </c>
      <c r="G40" s="47">
        <f t="shared" si="45"/>
        <v>0</v>
      </c>
      <c r="H40" s="47"/>
      <c r="I40" s="47">
        <f t="shared" si="46"/>
        <v>0</v>
      </c>
      <c r="J40" s="48"/>
      <c r="K40" s="47">
        <f t="shared" si="47"/>
        <v>0</v>
      </c>
      <c r="L40" s="48">
        <v>0</v>
      </c>
      <c r="M40" s="47">
        <f t="shared" si="48"/>
        <v>0</v>
      </c>
      <c r="N40" s="47"/>
      <c r="O40" s="48"/>
      <c r="P40" s="47"/>
      <c r="Q40" s="47">
        <f t="shared" si="49"/>
        <v>0</v>
      </c>
      <c r="R40" s="48"/>
      <c r="S40" s="47">
        <f t="shared" si="50"/>
        <v>0</v>
      </c>
      <c r="T40" s="47">
        <f t="shared" si="51"/>
        <v>0</v>
      </c>
      <c r="U40" s="48"/>
      <c r="V40" s="47">
        <v>0</v>
      </c>
      <c r="W40" s="47">
        <f t="shared" si="52"/>
        <v>0</v>
      </c>
      <c r="X40" s="48"/>
      <c r="Y40" s="47"/>
      <c r="Z40" s="47">
        <f t="shared" si="53"/>
        <v>0</v>
      </c>
      <c r="AA40" s="47"/>
      <c r="AB40" s="47">
        <f t="shared" si="54"/>
        <v>0</v>
      </c>
      <c r="AC40" s="48"/>
      <c r="AD40" s="48"/>
      <c r="AE40" s="47">
        <f t="shared" si="55"/>
        <v>0</v>
      </c>
      <c r="AF40" s="47"/>
      <c r="AG40" s="47">
        <f t="shared" si="56"/>
        <v>0</v>
      </c>
      <c r="AH40" s="47">
        <f t="shared" si="57"/>
        <v>0</v>
      </c>
      <c r="AI40" s="47">
        <v>0</v>
      </c>
      <c r="AJ40" s="47">
        <f t="shared" si="58"/>
        <v>0</v>
      </c>
      <c r="AK40" s="47"/>
      <c r="AL40" s="47"/>
      <c r="AM40" s="47"/>
      <c r="AN40" s="47">
        <f t="shared" si="59"/>
        <v>0</v>
      </c>
      <c r="AO40" s="47"/>
      <c r="AP40" s="47">
        <f t="shared" si="60"/>
        <v>0</v>
      </c>
      <c r="AQ40" s="47"/>
      <c r="AR40" s="47"/>
      <c r="AS40" s="47"/>
      <c r="AT40" s="47"/>
      <c r="AU40" s="47"/>
      <c r="AV40" s="47"/>
      <c r="AW40" s="47"/>
      <c r="AX40" s="48">
        <f>SUM(AY40:BD40)</f>
        <v>0</v>
      </c>
    </row>
    <row r="41" spans="1:59" s="18" customFormat="1" x14ac:dyDescent="0.35">
      <c r="A41" s="70" t="s">
        <v>669</v>
      </c>
      <c r="B41" s="70">
        <f t="shared" si="42"/>
        <v>0</v>
      </c>
      <c r="C41" s="70">
        <f t="shared" si="43"/>
        <v>0</v>
      </c>
      <c r="D41" s="70"/>
      <c r="E41" s="70">
        <v>0</v>
      </c>
      <c r="F41" s="69"/>
      <c r="G41" s="70">
        <f t="shared" si="45"/>
        <v>0</v>
      </c>
      <c r="H41" s="70">
        <v>0</v>
      </c>
      <c r="I41" s="70">
        <f t="shared" si="46"/>
        <v>0</v>
      </c>
      <c r="J41" s="69"/>
      <c r="K41" s="70">
        <f t="shared" si="47"/>
        <v>0</v>
      </c>
      <c r="L41" s="69">
        <v>0</v>
      </c>
      <c r="M41" s="70">
        <f t="shared" si="48"/>
        <v>0</v>
      </c>
      <c r="N41" s="70">
        <v>0</v>
      </c>
      <c r="O41" s="69">
        <v>0</v>
      </c>
      <c r="P41" s="70"/>
      <c r="Q41" s="70">
        <f t="shared" si="49"/>
        <v>0</v>
      </c>
      <c r="R41" s="69">
        <v>0</v>
      </c>
      <c r="S41" s="70">
        <f t="shared" si="50"/>
        <v>0</v>
      </c>
      <c r="T41" s="70">
        <f t="shared" si="51"/>
        <v>0</v>
      </c>
      <c r="U41" s="69"/>
      <c r="V41" s="70"/>
      <c r="W41" s="70">
        <f t="shared" si="52"/>
        <v>0</v>
      </c>
      <c r="X41" s="69"/>
      <c r="Y41" s="70"/>
      <c r="Z41" s="70">
        <f t="shared" si="53"/>
        <v>0</v>
      </c>
      <c r="AA41" s="70">
        <v>0</v>
      </c>
      <c r="AB41" s="70">
        <f t="shared" si="54"/>
        <v>0</v>
      </c>
      <c r="AC41" s="69"/>
      <c r="AD41" s="67"/>
      <c r="AE41" s="70">
        <f t="shared" si="55"/>
        <v>0</v>
      </c>
      <c r="AF41" s="70"/>
      <c r="AG41" s="70">
        <f t="shared" si="56"/>
        <v>0</v>
      </c>
      <c r="AH41" s="70">
        <f t="shared" si="57"/>
        <v>0</v>
      </c>
      <c r="AI41" s="70">
        <v>0</v>
      </c>
      <c r="AJ41" s="70">
        <f t="shared" si="58"/>
        <v>0</v>
      </c>
      <c r="AK41" s="70"/>
      <c r="AL41" s="70"/>
      <c r="AM41" s="70"/>
      <c r="AN41" s="70">
        <f t="shared" si="59"/>
        <v>0</v>
      </c>
      <c r="AO41" s="70"/>
      <c r="AP41" s="70">
        <f t="shared" si="60"/>
        <v>0</v>
      </c>
      <c r="AQ41" s="70"/>
      <c r="AR41" s="70"/>
      <c r="AS41" s="70"/>
      <c r="AT41" s="70"/>
      <c r="AU41" s="70"/>
      <c r="AV41" s="70"/>
      <c r="AW41" s="70"/>
      <c r="AX41" s="69"/>
    </row>
    <row r="42" spans="1:59" s="9" customFormat="1" x14ac:dyDescent="0.35">
      <c r="A42" s="49" t="s">
        <v>670</v>
      </c>
      <c r="B42" s="49">
        <f t="shared" si="42"/>
        <v>0</v>
      </c>
      <c r="C42" s="49">
        <f t="shared" si="43"/>
        <v>0</v>
      </c>
      <c r="D42" s="49"/>
      <c r="E42" s="49">
        <v>0</v>
      </c>
      <c r="F42" s="50"/>
      <c r="G42" s="49">
        <f t="shared" si="45"/>
        <v>0</v>
      </c>
      <c r="H42" s="49">
        <v>0</v>
      </c>
      <c r="I42" s="49">
        <f t="shared" si="46"/>
        <v>0</v>
      </c>
      <c r="J42" s="50">
        <v>0</v>
      </c>
      <c r="K42" s="49">
        <f t="shared" si="47"/>
        <v>0</v>
      </c>
      <c r="L42" s="50">
        <v>0</v>
      </c>
      <c r="M42" s="49">
        <f t="shared" si="48"/>
        <v>0</v>
      </c>
      <c r="N42" s="49"/>
      <c r="O42" s="50"/>
      <c r="P42" s="49"/>
      <c r="Q42" s="49">
        <f t="shared" si="49"/>
        <v>0</v>
      </c>
      <c r="R42" s="50">
        <v>0</v>
      </c>
      <c r="S42" s="49">
        <f t="shared" si="50"/>
        <v>0</v>
      </c>
      <c r="T42" s="49"/>
      <c r="U42" s="50"/>
      <c r="V42" s="49"/>
      <c r="W42" s="49">
        <f t="shared" si="52"/>
        <v>0</v>
      </c>
      <c r="X42" s="50"/>
      <c r="Y42" s="49"/>
      <c r="Z42" s="49">
        <f t="shared" si="53"/>
        <v>0</v>
      </c>
      <c r="AA42" s="49">
        <v>0</v>
      </c>
      <c r="AB42" s="49">
        <f t="shared" si="54"/>
        <v>0</v>
      </c>
      <c r="AC42" s="50"/>
      <c r="AD42" s="51"/>
      <c r="AE42" s="49">
        <f t="shared" si="55"/>
        <v>0</v>
      </c>
      <c r="AF42" s="49"/>
      <c r="AG42" s="49">
        <f t="shared" si="56"/>
        <v>0</v>
      </c>
      <c r="AH42" s="49">
        <f t="shared" si="57"/>
        <v>0</v>
      </c>
      <c r="AI42" s="49">
        <v>0</v>
      </c>
      <c r="AJ42" s="49">
        <f t="shared" si="58"/>
        <v>0</v>
      </c>
      <c r="AK42" s="49"/>
      <c r="AL42" s="49"/>
      <c r="AM42" s="49"/>
      <c r="AN42" s="49">
        <f t="shared" si="59"/>
        <v>0</v>
      </c>
      <c r="AO42" s="49"/>
      <c r="AP42" s="49">
        <f t="shared" si="60"/>
        <v>0</v>
      </c>
      <c r="AQ42" s="49"/>
      <c r="AR42" s="49"/>
      <c r="AS42" s="49"/>
      <c r="AT42" s="49"/>
      <c r="AU42" s="49"/>
      <c r="AV42" s="49"/>
      <c r="AW42" s="49"/>
      <c r="AX42" s="50"/>
    </row>
    <row r="43" spans="1:59" s="9" customFormat="1" x14ac:dyDescent="0.35">
      <c r="A43" s="56"/>
      <c r="B43" s="56"/>
      <c r="C43" s="56"/>
      <c r="D43" s="56"/>
      <c r="E43" s="56"/>
      <c r="F43" s="57"/>
      <c r="G43" s="56"/>
      <c r="H43" s="56"/>
      <c r="I43" s="56"/>
      <c r="J43" s="57"/>
      <c r="K43" s="56"/>
      <c r="L43" s="57"/>
      <c r="M43" s="56"/>
      <c r="N43" s="56"/>
      <c r="O43" s="57"/>
      <c r="P43" s="56"/>
      <c r="Q43" s="56"/>
      <c r="R43" s="57"/>
      <c r="S43" s="56"/>
      <c r="T43" s="56"/>
      <c r="U43" s="57"/>
      <c r="V43" s="56"/>
      <c r="W43" s="56"/>
      <c r="X43" s="57"/>
      <c r="Y43" s="56"/>
      <c r="Z43" s="56"/>
      <c r="AA43" s="56"/>
      <c r="AB43" s="56"/>
      <c r="AC43" s="57"/>
      <c r="AD43" s="58"/>
      <c r="AE43" s="56"/>
      <c r="AF43" s="56"/>
      <c r="AG43" s="56"/>
      <c r="AH43" s="56"/>
      <c r="AI43" s="56"/>
      <c r="AJ43" s="56"/>
      <c r="AK43" s="56"/>
      <c r="AL43" s="56"/>
      <c r="AM43" s="56"/>
      <c r="AN43" s="56"/>
      <c r="AO43" s="56"/>
      <c r="AP43" s="56"/>
      <c r="AQ43" s="56"/>
      <c r="AR43" s="56"/>
      <c r="AS43" s="56"/>
      <c r="AT43" s="56"/>
      <c r="AU43" s="56"/>
      <c r="AV43" s="56"/>
      <c r="AW43" s="56"/>
      <c r="AX43" s="57"/>
    </row>
    <row r="44" spans="1:59" s="9" customFormat="1" x14ac:dyDescent="0.35">
      <c r="A44" s="71" t="s">
        <v>671</v>
      </c>
      <c r="B44" s="39">
        <f>B41+B40+B31+B18+B13+B12</f>
        <v>0</v>
      </c>
      <c r="C44" s="39">
        <f t="shared" ref="C44:AX44" si="61">C41+C40+C31+C18+C13+C12</f>
        <v>0</v>
      </c>
      <c r="D44" s="39">
        <f t="shared" si="61"/>
        <v>0</v>
      </c>
      <c r="E44" s="39">
        <f t="shared" si="61"/>
        <v>0</v>
      </c>
      <c r="F44" s="39">
        <f t="shared" si="61"/>
        <v>0</v>
      </c>
      <c r="G44" s="39">
        <f t="shared" si="61"/>
        <v>0</v>
      </c>
      <c r="H44" s="39">
        <f t="shared" si="61"/>
        <v>0</v>
      </c>
      <c r="I44" s="39">
        <f t="shared" si="61"/>
        <v>0</v>
      </c>
      <c r="J44" s="39">
        <f t="shared" si="61"/>
        <v>0</v>
      </c>
      <c r="K44" s="39">
        <f t="shared" si="61"/>
        <v>0</v>
      </c>
      <c r="L44" s="39">
        <f t="shared" si="61"/>
        <v>0</v>
      </c>
      <c r="M44" s="39">
        <f t="shared" si="61"/>
        <v>0</v>
      </c>
      <c r="N44" s="39">
        <f t="shared" si="61"/>
        <v>0</v>
      </c>
      <c r="O44" s="39">
        <f t="shared" si="61"/>
        <v>0</v>
      </c>
      <c r="P44" s="39">
        <f t="shared" si="61"/>
        <v>0</v>
      </c>
      <c r="Q44" s="39">
        <f t="shared" si="61"/>
        <v>0</v>
      </c>
      <c r="R44" s="39">
        <f t="shared" si="61"/>
        <v>0</v>
      </c>
      <c r="S44" s="39">
        <f t="shared" si="61"/>
        <v>0</v>
      </c>
      <c r="T44" s="39">
        <f t="shared" si="61"/>
        <v>0</v>
      </c>
      <c r="U44" s="39">
        <f>U41+U40+U31+U18+U13+U12</f>
        <v>0</v>
      </c>
      <c r="V44" s="39">
        <f t="shared" si="61"/>
        <v>0</v>
      </c>
      <c r="W44" s="39">
        <f t="shared" si="61"/>
        <v>0</v>
      </c>
      <c r="X44" s="39">
        <f t="shared" si="61"/>
        <v>0</v>
      </c>
      <c r="Y44" s="39">
        <f t="shared" si="61"/>
        <v>0</v>
      </c>
      <c r="Z44" s="39">
        <f t="shared" si="61"/>
        <v>0</v>
      </c>
      <c r="AA44" s="39">
        <f t="shared" si="61"/>
        <v>0</v>
      </c>
      <c r="AB44" s="39">
        <f t="shared" si="61"/>
        <v>0</v>
      </c>
      <c r="AC44" s="39">
        <f t="shared" si="61"/>
        <v>0</v>
      </c>
      <c r="AD44" s="39">
        <f t="shared" si="61"/>
        <v>0</v>
      </c>
      <c r="AE44" s="39">
        <f t="shared" si="61"/>
        <v>0</v>
      </c>
      <c r="AF44" s="39">
        <f t="shared" si="61"/>
        <v>0</v>
      </c>
      <c r="AG44" s="39">
        <f t="shared" si="61"/>
        <v>0</v>
      </c>
      <c r="AH44" s="39">
        <f t="shared" si="61"/>
        <v>0</v>
      </c>
      <c r="AI44" s="39">
        <f t="shared" si="61"/>
        <v>0</v>
      </c>
      <c r="AJ44" s="39">
        <f t="shared" si="61"/>
        <v>0</v>
      </c>
      <c r="AK44" s="39">
        <f t="shared" si="61"/>
        <v>0</v>
      </c>
      <c r="AL44" s="39">
        <f t="shared" si="61"/>
        <v>0</v>
      </c>
      <c r="AM44" s="39">
        <f t="shared" si="61"/>
        <v>0</v>
      </c>
      <c r="AN44" s="39">
        <f t="shared" si="61"/>
        <v>0</v>
      </c>
      <c r="AO44" s="39">
        <f t="shared" si="61"/>
        <v>0</v>
      </c>
      <c r="AP44" s="39">
        <f t="shared" si="61"/>
        <v>0</v>
      </c>
      <c r="AQ44" s="39">
        <f t="shared" si="61"/>
        <v>0</v>
      </c>
      <c r="AR44" s="39">
        <f t="shared" si="61"/>
        <v>0</v>
      </c>
      <c r="AS44" s="39">
        <f t="shared" si="61"/>
        <v>0</v>
      </c>
      <c r="AT44" s="39">
        <f t="shared" si="61"/>
        <v>0</v>
      </c>
      <c r="AU44" s="39">
        <f t="shared" si="61"/>
        <v>0</v>
      </c>
      <c r="AV44" s="39">
        <f t="shared" si="61"/>
        <v>0</v>
      </c>
      <c r="AW44" s="39">
        <f t="shared" si="61"/>
        <v>0</v>
      </c>
      <c r="AX44" s="39">
        <f t="shared" si="61"/>
        <v>0</v>
      </c>
    </row>
    <row r="45" spans="1:59" s="9" customFormat="1" x14ac:dyDescent="0.35">
      <c r="A45" s="71" t="s">
        <v>672</v>
      </c>
      <c r="B45" s="39">
        <f>B12+B13+B18+B32+B33+B34+B41</f>
        <v>0</v>
      </c>
      <c r="C45" s="39">
        <f t="shared" ref="C45:AX45" si="62">C12+C13+C18+C32+C33+C34+C41</f>
        <v>0</v>
      </c>
      <c r="D45" s="39">
        <f t="shared" si="62"/>
        <v>0</v>
      </c>
      <c r="E45" s="39">
        <f t="shared" si="62"/>
        <v>0</v>
      </c>
      <c r="F45" s="39">
        <f t="shared" si="62"/>
        <v>0</v>
      </c>
      <c r="G45" s="39">
        <f t="shared" si="62"/>
        <v>0</v>
      </c>
      <c r="H45" s="39">
        <f t="shared" si="62"/>
        <v>0</v>
      </c>
      <c r="I45" s="39">
        <f t="shared" si="62"/>
        <v>0</v>
      </c>
      <c r="J45" s="39">
        <f t="shared" si="62"/>
        <v>0</v>
      </c>
      <c r="K45" s="39">
        <f t="shared" si="62"/>
        <v>0</v>
      </c>
      <c r="L45" s="39">
        <f t="shared" si="62"/>
        <v>0</v>
      </c>
      <c r="M45" s="39">
        <f t="shared" si="62"/>
        <v>0</v>
      </c>
      <c r="N45" s="39">
        <f t="shared" si="62"/>
        <v>0</v>
      </c>
      <c r="O45" s="39">
        <f t="shared" si="62"/>
        <v>0</v>
      </c>
      <c r="P45" s="39">
        <f t="shared" si="62"/>
        <v>0</v>
      </c>
      <c r="Q45" s="39">
        <f t="shared" si="62"/>
        <v>0</v>
      </c>
      <c r="R45" s="39">
        <f t="shared" si="62"/>
        <v>0</v>
      </c>
      <c r="S45" s="39">
        <f t="shared" si="62"/>
        <v>0</v>
      </c>
      <c r="T45" s="39">
        <f t="shared" si="62"/>
        <v>0</v>
      </c>
      <c r="U45" s="39">
        <f t="shared" si="62"/>
        <v>0</v>
      </c>
      <c r="V45" s="39">
        <f t="shared" si="62"/>
        <v>0</v>
      </c>
      <c r="W45" s="39">
        <f t="shared" si="62"/>
        <v>0</v>
      </c>
      <c r="X45" s="39">
        <f t="shared" si="62"/>
        <v>0</v>
      </c>
      <c r="Y45" s="39">
        <f t="shared" si="62"/>
        <v>0</v>
      </c>
      <c r="Z45" s="39">
        <f t="shared" si="62"/>
        <v>0</v>
      </c>
      <c r="AA45" s="39">
        <f t="shared" si="62"/>
        <v>0</v>
      </c>
      <c r="AB45" s="39">
        <f t="shared" si="62"/>
        <v>0</v>
      </c>
      <c r="AC45" s="39">
        <f t="shared" si="62"/>
        <v>0</v>
      </c>
      <c r="AD45" s="39">
        <f t="shared" si="62"/>
        <v>0</v>
      </c>
      <c r="AE45" s="39">
        <f t="shared" si="62"/>
        <v>0</v>
      </c>
      <c r="AF45" s="39">
        <f t="shared" si="62"/>
        <v>0</v>
      </c>
      <c r="AG45" s="39">
        <f t="shared" si="62"/>
        <v>0</v>
      </c>
      <c r="AH45" s="39">
        <f t="shared" si="62"/>
        <v>0</v>
      </c>
      <c r="AI45" s="39">
        <f t="shared" si="62"/>
        <v>0</v>
      </c>
      <c r="AJ45" s="39">
        <f t="shared" si="62"/>
        <v>0</v>
      </c>
      <c r="AK45" s="39">
        <f t="shared" si="62"/>
        <v>0</v>
      </c>
      <c r="AL45" s="39">
        <f t="shared" si="62"/>
        <v>0</v>
      </c>
      <c r="AM45" s="39">
        <f t="shared" si="62"/>
        <v>0</v>
      </c>
      <c r="AN45" s="39">
        <f t="shared" si="62"/>
        <v>0</v>
      </c>
      <c r="AO45" s="39">
        <f t="shared" si="62"/>
        <v>0</v>
      </c>
      <c r="AP45" s="39">
        <f t="shared" si="62"/>
        <v>0</v>
      </c>
      <c r="AQ45" s="39">
        <f t="shared" si="62"/>
        <v>0</v>
      </c>
      <c r="AR45" s="39">
        <f t="shared" si="62"/>
        <v>0</v>
      </c>
      <c r="AS45" s="39">
        <f t="shared" si="62"/>
        <v>0</v>
      </c>
      <c r="AT45" s="39">
        <f t="shared" si="62"/>
        <v>0</v>
      </c>
      <c r="AU45" s="39">
        <f t="shared" si="62"/>
        <v>0</v>
      </c>
      <c r="AV45" s="39">
        <f t="shared" si="62"/>
        <v>0</v>
      </c>
      <c r="AW45" s="39">
        <f t="shared" si="62"/>
        <v>0</v>
      </c>
      <c r="AX45" s="39">
        <f t="shared" si="62"/>
        <v>0</v>
      </c>
    </row>
    <row r="46" spans="1:59" s="9" customFormat="1" x14ac:dyDescent="0.35">
      <c r="A46" s="39" t="s">
        <v>673</v>
      </c>
      <c r="B46" s="68">
        <f>B3-B44</f>
        <v>0</v>
      </c>
      <c r="C46" s="39"/>
      <c r="D46" s="39"/>
      <c r="E46" s="39"/>
      <c r="F46" s="40"/>
      <c r="G46" s="39"/>
      <c r="H46" s="39"/>
      <c r="I46" s="39"/>
      <c r="J46" s="40"/>
      <c r="K46" s="39"/>
      <c r="L46" s="40"/>
      <c r="M46" s="39"/>
      <c r="N46" s="39"/>
      <c r="O46" s="40"/>
      <c r="P46" s="39"/>
      <c r="Q46" s="39"/>
      <c r="R46" s="40"/>
      <c r="S46" s="39"/>
      <c r="T46" s="39"/>
      <c r="U46" s="40"/>
      <c r="V46" s="39"/>
      <c r="W46" s="39"/>
      <c r="X46" s="40"/>
      <c r="Y46" s="39"/>
      <c r="Z46" s="39"/>
      <c r="AA46" s="39"/>
      <c r="AB46" s="39"/>
      <c r="AC46" s="40"/>
      <c r="AD46" s="66"/>
      <c r="AE46" s="39"/>
      <c r="AF46" s="39"/>
      <c r="AG46" s="39"/>
      <c r="AH46" s="39"/>
      <c r="AI46" s="39"/>
      <c r="AJ46" s="39"/>
      <c r="AK46" s="39"/>
      <c r="AL46" s="39"/>
      <c r="AM46" s="39"/>
      <c r="AN46" s="39"/>
      <c r="AO46" s="39"/>
      <c r="AP46" s="39"/>
      <c r="AQ46" s="39"/>
      <c r="AR46" s="39"/>
      <c r="AS46" s="39"/>
      <c r="AT46" s="39"/>
      <c r="AU46" s="39"/>
      <c r="AV46" s="39"/>
      <c r="AW46" s="39"/>
      <c r="AX46" s="40"/>
    </row>
    <row r="47" spans="1:59" s="9" customFormat="1" x14ac:dyDescent="0.35">
      <c r="A47" s="56"/>
      <c r="B47" s="56"/>
      <c r="C47" s="56"/>
      <c r="D47" s="56"/>
      <c r="E47" s="56"/>
      <c r="F47" s="57"/>
      <c r="G47" s="56"/>
      <c r="H47" s="56"/>
      <c r="I47" s="56"/>
      <c r="J47" s="57"/>
      <c r="K47" s="56"/>
      <c r="L47" s="57"/>
      <c r="M47" s="56"/>
      <c r="N47" s="56"/>
      <c r="O47" s="57"/>
      <c r="P47" s="56"/>
      <c r="Q47" s="56"/>
      <c r="R47" s="57"/>
      <c r="S47" s="56"/>
      <c r="T47" s="56"/>
      <c r="U47" s="57"/>
      <c r="V47" s="56"/>
      <c r="W47" s="56"/>
      <c r="X47" s="57"/>
      <c r="Y47" s="56"/>
      <c r="Z47" s="56"/>
      <c r="AA47" s="56"/>
      <c r="AB47" s="56"/>
      <c r="AC47" s="57"/>
      <c r="AD47" s="58"/>
      <c r="AE47" s="56"/>
      <c r="AF47" s="56"/>
      <c r="AG47" s="56"/>
      <c r="AH47" s="56"/>
      <c r="AI47" s="56"/>
      <c r="AJ47" s="56"/>
      <c r="AK47" s="56"/>
      <c r="AL47" s="56"/>
      <c r="AM47" s="56"/>
      <c r="AN47" s="56"/>
      <c r="AO47" s="56"/>
      <c r="AP47" s="56"/>
      <c r="AQ47" s="56"/>
      <c r="AR47" s="56"/>
      <c r="AS47" s="56"/>
      <c r="AT47" s="56"/>
      <c r="AU47" s="56"/>
      <c r="AV47" s="56"/>
      <c r="AW47" s="56"/>
      <c r="AX47" s="57"/>
    </row>
    <row r="48" spans="1:59" s="9" customFormat="1" hidden="1" x14ac:dyDescent="0.35">
      <c r="A48" s="9" t="s">
        <v>674</v>
      </c>
      <c r="B48" s="27">
        <f t="shared" ref="B48" si="63">C48+S48+AG48</f>
        <v>246842859.10856345</v>
      </c>
      <c r="C48" s="9">
        <f t="shared" ref="C48" si="64">D48+G48+I48+K48+M48+Q48</f>
        <v>0</v>
      </c>
      <c r="D48" s="9">
        <f t="shared" ref="D48" si="65">SUM(E48:F48)</f>
        <v>0</v>
      </c>
      <c r="E48" s="27"/>
      <c r="F48" s="27">
        <v>0</v>
      </c>
      <c r="G48" s="9">
        <f t="shared" si="14"/>
        <v>0</v>
      </c>
      <c r="H48" s="9">
        <v>0</v>
      </c>
      <c r="I48" s="9">
        <f t="shared" si="3"/>
        <v>0</v>
      </c>
      <c r="J48" s="25"/>
      <c r="K48" s="9">
        <f t="shared" si="15"/>
        <v>0</v>
      </c>
      <c r="L48" s="25">
        <v>0</v>
      </c>
      <c r="M48" s="9">
        <f t="shared" ref="M48:M49" si="66">SUM(N48:P48)</f>
        <v>0</v>
      </c>
      <c r="O48" s="25"/>
      <c r="Q48" s="9">
        <f t="shared" si="5"/>
        <v>0</v>
      </c>
      <c r="R48" s="25"/>
      <c r="S48" s="9">
        <f t="shared" ref="S48:S49" si="67">T48+W48+Z48+AB48+AE48</f>
        <v>228104574.50856346</v>
      </c>
      <c r="T48" s="9">
        <f t="shared" ref="T48:T49" si="68">SUM(U48:V48)</f>
        <v>0</v>
      </c>
      <c r="U48" s="25"/>
      <c r="V48" s="9">
        <v>0</v>
      </c>
      <c r="W48" s="9">
        <f t="shared" ref="W48:W49" si="69">SUM(X48:Y48)</f>
        <v>0</v>
      </c>
      <c r="X48" s="27"/>
      <c r="Z48" s="9">
        <f t="shared" si="7"/>
        <v>0</v>
      </c>
      <c r="AA48" s="9">
        <v>0</v>
      </c>
      <c r="AB48" s="9">
        <f t="shared" ref="AB48:AB49" si="70">SUM(AC48:AD48)</f>
        <v>0</v>
      </c>
      <c r="AC48" s="25"/>
      <c r="AD48" s="25"/>
      <c r="AE48" s="9">
        <f t="shared" si="9"/>
        <v>228104574.50856346</v>
      </c>
      <c r="AF48" s="9">
        <v>228104574.50856346</v>
      </c>
      <c r="AG48" s="9">
        <f t="shared" ref="AG48:AG49" si="71">AH48+AN48</f>
        <v>18738284.600000001</v>
      </c>
      <c r="AH48" s="9">
        <f t="shared" ref="AH48:AH49" si="72">AI48+AJ48</f>
        <v>0</v>
      </c>
      <c r="AI48" s="9">
        <v>0</v>
      </c>
      <c r="AJ48" s="9">
        <f t="shared" ref="AJ48:AJ49" si="73">SUM(AK48:AM48)</f>
        <v>0</v>
      </c>
      <c r="AN48" s="9">
        <f t="shared" ref="AN48:AN49" si="74">AO48+AP48+AX48</f>
        <v>18738284.600000001</v>
      </c>
      <c r="AO48" s="9">
        <v>18738284.600000001</v>
      </c>
      <c r="AP48" s="9">
        <f t="shared" ref="AP48:AP49" si="75">SUM(AQ48:AW48)</f>
        <v>0</v>
      </c>
      <c r="AX48" s="25">
        <f t="shared" ref="AX48:AX49" si="76">SUM(AY48:BD48)</f>
        <v>0</v>
      </c>
    </row>
    <row r="49" spans="1:50" s="6" customFormat="1" hidden="1" x14ac:dyDescent="0.35">
      <c r="A49" s="6" t="s">
        <v>675</v>
      </c>
      <c r="F49" s="29">
        <v>0.87060000000000015</v>
      </c>
      <c r="G49" s="6">
        <f t="shared" si="14"/>
        <v>0</v>
      </c>
      <c r="I49" s="6">
        <f t="shared" si="3"/>
        <v>0</v>
      </c>
      <c r="J49" s="29"/>
      <c r="K49" s="6">
        <f t="shared" si="15"/>
        <v>0.2</v>
      </c>
      <c r="L49" s="29">
        <v>0.2</v>
      </c>
      <c r="M49" s="6">
        <f t="shared" si="66"/>
        <v>0.13211610616380767</v>
      </c>
      <c r="N49" s="6">
        <v>0.13211610616380767</v>
      </c>
      <c r="O49" s="29"/>
      <c r="Q49" s="6">
        <f t="shared" si="5"/>
        <v>0</v>
      </c>
      <c r="R49" s="29"/>
      <c r="S49" s="6">
        <f t="shared" si="67"/>
        <v>1.2</v>
      </c>
      <c r="T49" s="6">
        <f t="shared" si="68"/>
        <v>0</v>
      </c>
      <c r="U49" s="29"/>
      <c r="W49" s="6">
        <f t="shared" si="69"/>
        <v>0</v>
      </c>
      <c r="X49" s="38"/>
      <c r="Z49" s="6">
        <f t="shared" si="7"/>
        <v>0</v>
      </c>
      <c r="AB49" s="6">
        <f t="shared" si="70"/>
        <v>0</v>
      </c>
      <c r="AC49" s="29"/>
      <c r="AD49" s="29"/>
      <c r="AE49" s="6">
        <f t="shared" si="9"/>
        <v>1.2</v>
      </c>
      <c r="AF49" s="6">
        <v>1.2</v>
      </c>
      <c r="AG49" s="6">
        <f t="shared" si="71"/>
        <v>0</v>
      </c>
      <c r="AH49" s="6">
        <f t="shared" si="72"/>
        <v>0</v>
      </c>
      <c r="AJ49" s="6">
        <f t="shared" si="73"/>
        <v>0</v>
      </c>
      <c r="AN49" s="6">
        <f t="shared" si="74"/>
        <v>0</v>
      </c>
      <c r="AP49" s="6">
        <f t="shared" si="75"/>
        <v>0</v>
      </c>
      <c r="AX49" s="38">
        <f t="shared" si="76"/>
        <v>0</v>
      </c>
    </row>
    <row r="50" spans="1:50" hidden="1" x14ac:dyDescent="0.35"/>
    <row r="51" spans="1:50" hidden="1" x14ac:dyDescent="0.35">
      <c r="A51" s="11" t="s">
        <v>676</v>
      </c>
      <c r="B51">
        <f t="shared" ref="B51:B56" si="77">C51+S51+AG51</f>
        <v>825</v>
      </c>
      <c r="C51">
        <f t="shared" ref="C51:C56" si="78">D51+G51+I51+K51+M51+Q51</f>
        <v>825</v>
      </c>
      <c r="D51">
        <f t="shared" ref="D51:D56" si="79">SUM(E51:F51)</f>
        <v>5</v>
      </c>
      <c r="E51">
        <v>5</v>
      </c>
      <c r="F51">
        <v>0</v>
      </c>
      <c r="G51">
        <f t="shared" ref="G51:G56" si="80">H51</f>
        <v>0</v>
      </c>
      <c r="H51">
        <v>0</v>
      </c>
      <c r="I51">
        <f t="shared" ref="I51:I56" si="81">J51</f>
        <v>0</v>
      </c>
      <c r="J51">
        <v>0</v>
      </c>
      <c r="K51">
        <f t="shared" ref="K51:K56" si="82">L51</f>
        <v>0</v>
      </c>
      <c r="L51">
        <v>0</v>
      </c>
      <c r="M51">
        <f t="shared" ref="M51:M56" si="83">SUM(N51:P51)</f>
        <v>0</v>
      </c>
      <c r="O51">
        <v>0</v>
      </c>
      <c r="P51">
        <v>0</v>
      </c>
      <c r="Q51">
        <f t="shared" ref="Q51:Q56" si="84">R51</f>
        <v>820</v>
      </c>
      <c r="R51">
        <v>820</v>
      </c>
      <c r="S51">
        <f t="shared" ref="S51:S56" si="85">T51+W51+Z51+AB51+AE51</f>
        <v>0</v>
      </c>
      <c r="T51">
        <f t="shared" ref="T51:T56" si="86">SUM(U51:V51)</f>
        <v>0</v>
      </c>
      <c r="W51">
        <f t="shared" ref="W51:W56" si="87">SUM(X51:Y51)</f>
        <v>0</v>
      </c>
      <c r="X51">
        <v>0</v>
      </c>
      <c r="Z51">
        <f t="shared" ref="Z51:Z56" si="88">AA51</f>
        <v>0</v>
      </c>
      <c r="AB51">
        <f t="shared" ref="AB51:AB56" si="89">SUM(AC51:AD51)</f>
        <v>0</v>
      </c>
      <c r="AC51">
        <v>0</v>
      </c>
      <c r="AD51">
        <v>0</v>
      </c>
      <c r="AE51">
        <f t="shared" ref="AE51:AE56" si="90">AF51</f>
        <v>0</v>
      </c>
      <c r="AF51">
        <v>0</v>
      </c>
      <c r="AG51">
        <f t="shared" ref="AG51:AG56" si="91">AH51+AN51</f>
        <v>0</v>
      </c>
      <c r="AH51">
        <f t="shared" ref="AH51:AH56" si="92">AI51+AJ51</f>
        <v>0</v>
      </c>
      <c r="AI51">
        <v>0</v>
      </c>
      <c r="AJ51">
        <f t="shared" ref="AJ51:AJ56" si="93">SUM(AK51:AM51)</f>
        <v>0</v>
      </c>
      <c r="AN51">
        <f t="shared" ref="AN51:AN56" si="94">AO51+AP51+AX51</f>
        <v>0</v>
      </c>
      <c r="AP51">
        <f t="shared" ref="AP51:AP56" si="95">SUM(AQ51:AW51)</f>
        <v>0</v>
      </c>
      <c r="AX51">
        <f t="shared" ref="AX51:AX56" si="96">SUM(AY51:BD51)</f>
        <v>0</v>
      </c>
    </row>
    <row r="52" spans="1:50" hidden="1" x14ac:dyDescent="0.35">
      <c r="A52" s="11" t="s">
        <v>677</v>
      </c>
      <c r="B52">
        <f t="shared" si="77"/>
        <v>5</v>
      </c>
      <c r="C52">
        <f t="shared" si="78"/>
        <v>5</v>
      </c>
      <c r="D52">
        <f t="shared" si="79"/>
        <v>5</v>
      </c>
      <c r="E52">
        <v>5</v>
      </c>
      <c r="F52">
        <v>0</v>
      </c>
      <c r="G52">
        <f t="shared" si="80"/>
        <v>0</v>
      </c>
      <c r="H52">
        <v>0</v>
      </c>
      <c r="I52">
        <f t="shared" si="81"/>
        <v>0</v>
      </c>
      <c r="J52">
        <v>0</v>
      </c>
      <c r="K52">
        <f t="shared" si="82"/>
        <v>0</v>
      </c>
      <c r="L52">
        <v>0</v>
      </c>
      <c r="M52">
        <f t="shared" si="83"/>
        <v>0</v>
      </c>
      <c r="O52">
        <v>0</v>
      </c>
      <c r="P52">
        <v>0</v>
      </c>
      <c r="Q52">
        <f t="shared" si="84"/>
        <v>0</v>
      </c>
      <c r="R52">
        <v>0</v>
      </c>
      <c r="S52">
        <f t="shared" si="85"/>
        <v>0</v>
      </c>
      <c r="T52">
        <f t="shared" si="86"/>
        <v>0</v>
      </c>
      <c r="W52">
        <f t="shared" si="87"/>
        <v>0</v>
      </c>
      <c r="X52">
        <v>0</v>
      </c>
      <c r="Z52">
        <f t="shared" si="88"/>
        <v>0</v>
      </c>
      <c r="AB52">
        <f t="shared" si="89"/>
        <v>0</v>
      </c>
      <c r="AC52">
        <v>0</v>
      </c>
      <c r="AD52">
        <v>0</v>
      </c>
      <c r="AE52">
        <f t="shared" si="90"/>
        <v>0</v>
      </c>
      <c r="AF52">
        <v>0</v>
      </c>
      <c r="AG52">
        <f t="shared" si="91"/>
        <v>0</v>
      </c>
      <c r="AH52">
        <f t="shared" si="92"/>
        <v>0</v>
      </c>
      <c r="AI52">
        <v>0</v>
      </c>
      <c r="AJ52">
        <f t="shared" si="93"/>
        <v>0</v>
      </c>
      <c r="AN52">
        <f t="shared" si="94"/>
        <v>0</v>
      </c>
      <c r="AP52">
        <f t="shared" si="95"/>
        <v>0</v>
      </c>
      <c r="AX52">
        <f t="shared" si="96"/>
        <v>0</v>
      </c>
    </row>
    <row r="53" spans="1:50" hidden="1" x14ac:dyDescent="0.35">
      <c r="A53" s="10" t="s">
        <v>678</v>
      </c>
      <c r="B53">
        <f t="shared" si="77"/>
        <v>943</v>
      </c>
      <c r="C53">
        <f t="shared" si="78"/>
        <v>339</v>
      </c>
      <c r="D53">
        <f t="shared" si="79"/>
        <v>16</v>
      </c>
      <c r="E53">
        <v>16</v>
      </c>
      <c r="F53">
        <v>0</v>
      </c>
      <c r="G53">
        <f t="shared" si="80"/>
        <v>0</v>
      </c>
      <c r="H53">
        <v>0</v>
      </c>
      <c r="I53">
        <f t="shared" si="81"/>
        <v>0</v>
      </c>
      <c r="J53">
        <v>0</v>
      </c>
      <c r="K53">
        <f t="shared" si="82"/>
        <v>0</v>
      </c>
      <c r="L53">
        <v>0</v>
      </c>
      <c r="M53">
        <f t="shared" si="83"/>
        <v>323</v>
      </c>
      <c r="N53">
        <v>113</v>
      </c>
      <c r="O53">
        <v>210</v>
      </c>
      <c r="Q53">
        <f t="shared" si="84"/>
        <v>0</v>
      </c>
      <c r="R53">
        <v>0</v>
      </c>
      <c r="S53">
        <f t="shared" si="85"/>
        <v>461</v>
      </c>
      <c r="T53">
        <f t="shared" si="86"/>
        <v>0</v>
      </c>
      <c r="W53">
        <f t="shared" si="87"/>
        <v>1</v>
      </c>
      <c r="X53">
        <v>1</v>
      </c>
      <c r="Z53">
        <f t="shared" si="88"/>
        <v>24</v>
      </c>
      <c r="AA53">
        <v>24</v>
      </c>
      <c r="AB53">
        <f t="shared" si="89"/>
        <v>255</v>
      </c>
      <c r="AC53">
        <v>194</v>
      </c>
      <c r="AD53">
        <v>61</v>
      </c>
      <c r="AE53">
        <f t="shared" si="90"/>
        <v>181</v>
      </c>
      <c r="AF53">
        <v>181</v>
      </c>
      <c r="AG53">
        <f t="shared" si="91"/>
        <v>143</v>
      </c>
      <c r="AH53">
        <f t="shared" si="92"/>
        <v>143</v>
      </c>
      <c r="AI53">
        <v>143</v>
      </c>
      <c r="AJ53">
        <f t="shared" si="93"/>
        <v>0</v>
      </c>
      <c r="AN53">
        <f t="shared" si="94"/>
        <v>0</v>
      </c>
      <c r="AP53">
        <f t="shared" si="95"/>
        <v>0</v>
      </c>
      <c r="AX53">
        <f t="shared" si="96"/>
        <v>0</v>
      </c>
    </row>
    <row r="54" spans="1:50" ht="29" hidden="1" x14ac:dyDescent="0.35">
      <c r="A54" s="12" t="s">
        <v>679</v>
      </c>
      <c r="B54">
        <f t="shared" si="77"/>
        <v>1</v>
      </c>
      <c r="C54">
        <f t="shared" si="78"/>
        <v>0</v>
      </c>
      <c r="D54">
        <f t="shared" si="79"/>
        <v>0</v>
      </c>
      <c r="G54">
        <f t="shared" si="80"/>
        <v>0</v>
      </c>
      <c r="I54">
        <f t="shared" si="81"/>
        <v>0</v>
      </c>
      <c r="K54">
        <f t="shared" si="82"/>
        <v>0</v>
      </c>
      <c r="M54">
        <f t="shared" si="83"/>
        <v>0</v>
      </c>
      <c r="Q54">
        <f t="shared" si="84"/>
        <v>0</v>
      </c>
      <c r="S54">
        <f t="shared" si="85"/>
        <v>1</v>
      </c>
      <c r="T54">
        <f t="shared" si="86"/>
        <v>0</v>
      </c>
      <c r="W54">
        <f t="shared" si="87"/>
        <v>1</v>
      </c>
      <c r="X54">
        <v>1</v>
      </c>
      <c r="Z54">
        <f t="shared" si="88"/>
        <v>0</v>
      </c>
      <c r="AC54">
        <v>4.9927551748750895E-2</v>
      </c>
      <c r="AE54">
        <f t="shared" si="90"/>
        <v>0</v>
      </c>
      <c r="AF54">
        <v>0</v>
      </c>
      <c r="AG54">
        <f t="shared" si="91"/>
        <v>0</v>
      </c>
      <c r="AH54">
        <f t="shared" si="92"/>
        <v>0</v>
      </c>
      <c r="AJ54">
        <f t="shared" si="93"/>
        <v>0</v>
      </c>
      <c r="AN54">
        <f t="shared" si="94"/>
        <v>0</v>
      </c>
      <c r="AP54">
        <f t="shared" si="95"/>
        <v>0</v>
      </c>
      <c r="AX54">
        <f t="shared" si="96"/>
        <v>0</v>
      </c>
    </row>
    <row r="55" spans="1:50" hidden="1" x14ac:dyDescent="0.35">
      <c r="A55" s="11" t="s">
        <v>680</v>
      </c>
      <c r="B55">
        <f t="shared" si="77"/>
        <v>15.073015814319433</v>
      </c>
      <c r="C55">
        <f t="shared" si="78"/>
        <v>14.073015814319433</v>
      </c>
      <c r="D55">
        <f t="shared" si="79"/>
        <v>14</v>
      </c>
      <c r="E55">
        <v>14</v>
      </c>
      <c r="F55">
        <v>0</v>
      </c>
      <c r="G55">
        <f t="shared" si="80"/>
        <v>0</v>
      </c>
      <c r="H55">
        <v>0</v>
      </c>
      <c r="I55">
        <f t="shared" si="81"/>
        <v>0</v>
      </c>
      <c r="J55">
        <v>0</v>
      </c>
      <c r="K55">
        <f t="shared" si="82"/>
        <v>0</v>
      </c>
      <c r="L55">
        <v>0</v>
      </c>
      <c r="M55">
        <f t="shared" si="83"/>
        <v>0</v>
      </c>
      <c r="O55">
        <v>0</v>
      </c>
      <c r="Q55">
        <f t="shared" si="84"/>
        <v>7.3015814319433506E-2</v>
      </c>
      <c r="R55">
        <v>7.3015814319433506E-2</v>
      </c>
      <c r="S55">
        <f t="shared" si="85"/>
        <v>1</v>
      </c>
      <c r="T55">
        <f t="shared" si="86"/>
        <v>0</v>
      </c>
      <c r="W55">
        <f t="shared" si="87"/>
        <v>0</v>
      </c>
      <c r="X55">
        <v>0</v>
      </c>
      <c r="Z55">
        <f t="shared" si="88"/>
        <v>0</v>
      </c>
      <c r="AB55">
        <f t="shared" si="89"/>
        <v>0</v>
      </c>
      <c r="AC55">
        <v>0</v>
      </c>
      <c r="AD55">
        <v>0</v>
      </c>
      <c r="AE55">
        <f t="shared" si="90"/>
        <v>1</v>
      </c>
      <c r="AF55">
        <v>1</v>
      </c>
      <c r="AG55">
        <f t="shared" si="91"/>
        <v>0</v>
      </c>
      <c r="AH55">
        <f t="shared" si="92"/>
        <v>0</v>
      </c>
      <c r="AI55">
        <v>0</v>
      </c>
      <c r="AJ55">
        <f t="shared" si="93"/>
        <v>0</v>
      </c>
      <c r="AN55">
        <f t="shared" si="94"/>
        <v>0</v>
      </c>
      <c r="AP55">
        <f t="shared" si="95"/>
        <v>0</v>
      </c>
      <c r="AX55">
        <f t="shared" si="96"/>
        <v>0</v>
      </c>
    </row>
    <row r="56" spans="1:50" hidden="1" x14ac:dyDescent="0.35">
      <c r="A56" s="12" t="s">
        <v>681</v>
      </c>
      <c r="B56">
        <f t="shared" si="77"/>
        <v>0</v>
      </c>
      <c r="C56">
        <f t="shared" si="78"/>
        <v>0</v>
      </c>
      <c r="D56">
        <f t="shared" si="79"/>
        <v>0</v>
      </c>
      <c r="F56">
        <v>0</v>
      </c>
      <c r="G56">
        <f t="shared" si="80"/>
        <v>0</v>
      </c>
      <c r="H56">
        <v>0</v>
      </c>
      <c r="I56">
        <f t="shared" si="81"/>
        <v>0</v>
      </c>
      <c r="J56">
        <v>0</v>
      </c>
      <c r="K56">
        <f t="shared" si="82"/>
        <v>0</v>
      </c>
      <c r="L56">
        <v>0</v>
      </c>
      <c r="M56">
        <f t="shared" si="83"/>
        <v>0</v>
      </c>
      <c r="O56">
        <v>0</v>
      </c>
      <c r="Q56">
        <f t="shared" si="84"/>
        <v>0</v>
      </c>
      <c r="R56">
        <v>0</v>
      </c>
      <c r="S56">
        <f t="shared" si="85"/>
        <v>0</v>
      </c>
      <c r="T56">
        <f t="shared" si="86"/>
        <v>0</v>
      </c>
      <c r="W56">
        <f t="shared" si="87"/>
        <v>0</v>
      </c>
      <c r="X56">
        <v>0</v>
      </c>
      <c r="Z56">
        <f t="shared" si="88"/>
        <v>0</v>
      </c>
      <c r="AB56">
        <f t="shared" si="89"/>
        <v>0</v>
      </c>
      <c r="AC56">
        <v>0</v>
      </c>
      <c r="AD56">
        <v>0</v>
      </c>
      <c r="AE56">
        <f t="shared" si="90"/>
        <v>0</v>
      </c>
      <c r="AG56">
        <f t="shared" si="91"/>
        <v>0</v>
      </c>
      <c r="AH56">
        <f t="shared" si="92"/>
        <v>0</v>
      </c>
      <c r="AI56">
        <v>0</v>
      </c>
      <c r="AJ56">
        <f t="shared" si="93"/>
        <v>0</v>
      </c>
      <c r="AN56">
        <f t="shared" si="94"/>
        <v>0</v>
      </c>
      <c r="AP56">
        <f t="shared" si="95"/>
        <v>0</v>
      </c>
      <c r="AX56">
        <f t="shared" si="96"/>
        <v>0</v>
      </c>
    </row>
    <row r="57" spans="1:50" x14ac:dyDescent="0.35">
      <c r="AC57">
        <v>0</v>
      </c>
      <c r="AD57">
        <v>0</v>
      </c>
      <c r="AI57">
        <v>0</v>
      </c>
    </row>
    <row r="58" spans="1:50" ht="15" thickBot="1" x14ac:dyDescent="0.4"/>
    <row r="59" spans="1:50" ht="15" thickBot="1" x14ac:dyDescent="0.4">
      <c r="B59" s="138"/>
    </row>
    <row r="60" spans="1:50" ht="15" thickBot="1" x14ac:dyDescent="0.4">
      <c r="B60" s="139"/>
    </row>
    <row r="61" spans="1:50" ht="15" thickBot="1" x14ac:dyDescent="0.4">
      <c r="B61" s="139"/>
    </row>
    <row r="62" spans="1:50" ht="15" thickBot="1" x14ac:dyDescent="0.4">
      <c r="B62" s="139"/>
    </row>
    <row r="63" spans="1:50" ht="15" thickBot="1" x14ac:dyDescent="0.4">
      <c r="B63" s="139"/>
    </row>
    <row r="64" spans="1:50" ht="15" thickBot="1" x14ac:dyDescent="0.4">
      <c r="B64" s="139"/>
    </row>
  </sheetData>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CCC79-1FC0-4C13-8611-7368413AA28D}">
  <dimension ref="A1:BM66"/>
  <sheetViews>
    <sheetView showGridLines="0" zoomScaleNormal="100" workbookViewId="0">
      <pane xSplit="1" ySplit="1" topLeftCell="B2" activePane="bottomRight" state="frozen"/>
      <selection pane="topRight" activeCell="H1" sqref="H1:O1"/>
      <selection pane="bottomLeft" activeCell="H1" sqref="H1:O1"/>
      <selection pane="bottomRight"/>
    </sheetView>
  </sheetViews>
  <sheetFormatPr defaultColWidth="9.1796875" defaultRowHeight="14.5" x14ac:dyDescent="0.35"/>
  <cols>
    <col min="1" max="1" width="47.81640625" style="617" bestFit="1" customWidth="1"/>
    <col min="2" max="2" width="21.54296875" style="617" bestFit="1" customWidth="1"/>
    <col min="3" max="3" width="18.1796875" style="617" bestFit="1" customWidth="1"/>
    <col min="4" max="4" width="20.453125" style="617" bestFit="1" customWidth="1"/>
    <col min="5" max="5" width="18.54296875" style="617" bestFit="1" customWidth="1"/>
    <col min="6" max="6" width="16.81640625" style="617" bestFit="1" customWidth="1"/>
    <col min="7" max="8" width="18.54296875" style="617" bestFit="1" customWidth="1"/>
    <col min="9" max="11" width="20.453125" style="617" bestFit="1" customWidth="1"/>
    <col min="12" max="12" width="11.453125" style="617" bestFit="1" customWidth="1"/>
    <col min="13" max="13" width="17.453125" style="617" customWidth="1"/>
    <col min="14" max="14" width="14.54296875" style="617" customWidth="1"/>
    <col min="15" max="16384" width="9.1796875" style="617"/>
  </cols>
  <sheetData>
    <row r="1" spans="1:65" s="616" customFormat="1" ht="65.5" thickBot="1" x14ac:dyDescent="0.4">
      <c r="A1" s="613"/>
      <c r="B1" s="855" t="s">
        <v>409</v>
      </c>
      <c r="C1" s="856" t="s">
        <v>410</v>
      </c>
      <c r="D1" s="856" t="s">
        <v>411</v>
      </c>
      <c r="E1" s="857" t="s">
        <v>682</v>
      </c>
      <c r="F1" s="857" t="s">
        <v>683</v>
      </c>
      <c r="G1" s="856" t="s">
        <v>684</v>
      </c>
      <c r="H1" s="856" t="s">
        <v>685</v>
      </c>
      <c r="I1" s="858" t="s">
        <v>686</v>
      </c>
      <c r="J1" s="856" t="s">
        <v>687</v>
      </c>
      <c r="K1" s="857" t="s">
        <v>688</v>
      </c>
      <c r="L1" s="857" t="s">
        <v>689</v>
      </c>
      <c r="M1" s="857" t="s">
        <v>690</v>
      </c>
      <c r="N1" s="859" t="s">
        <v>691</v>
      </c>
    </row>
    <row r="2" spans="1:65" s="654" customFormat="1" x14ac:dyDescent="0.35">
      <c r="A2" s="860" t="s">
        <v>348</v>
      </c>
      <c r="B2" s="861">
        <f>B3+B18+B32</f>
        <v>6950487.3500000006</v>
      </c>
      <c r="C2" s="861">
        <f t="shared" ref="C2:J2" si="0">C3+C18+C32</f>
        <v>431229183.67000002</v>
      </c>
      <c r="D2" s="861">
        <f t="shared" si="0"/>
        <v>163000467.59</v>
      </c>
      <c r="E2" s="861">
        <f t="shared" si="0"/>
        <v>895470834.88</v>
      </c>
      <c r="F2" s="861">
        <f t="shared" si="0"/>
        <v>98879835.099999994</v>
      </c>
      <c r="G2" s="861">
        <f t="shared" si="0"/>
        <v>511380131.51999998</v>
      </c>
      <c r="H2" s="861">
        <f t="shared" si="0"/>
        <v>59584091.640000001</v>
      </c>
      <c r="I2" s="862">
        <f t="shared" ref="I2:I20" si="1">H2/G2</f>
        <v>0.11651624294220292</v>
      </c>
      <c r="J2" s="861">
        <f t="shared" si="0"/>
        <v>3111261.4499999993</v>
      </c>
      <c r="K2" s="861">
        <f t="shared" ref="K2" si="2">K3+K18+K32</f>
        <v>22915.11</v>
      </c>
      <c r="L2" s="861">
        <f t="shared" ref="L2" si="3">L3+L18+L32</f>
        <v>241.50794199999999</v>
      </c>
      <c r="M2" s="861">
        <f t="shared" ref="M2" si="4">M3+M18+M32</f>
        <v>65663.289999999994</v>
      </c>
      <c r="N2" s="861">
        <f t="shared" ref="N2" si="5">N3+N18+N32</f>
        <v>62352.84</v>
      </c>
    </row>
    <row r="3" spans="1:65" s="654" customFormat="1" x14ac:dyDescent="0.35">
      <c r="A3" s="863" t="s">
        <v>349</v>
      </c>
      <c r="B3" s="642">
        <f t="shared" ref="B3:H3" si="6">B4+B6+B8+B10+B12+B16</f>
        <v>2288077.8000000003</v>
      </c>
      <c r="C3" s="642">
        <f t="shared" si="6"/>
        <v>393340832.72000003</v>
      </c>
      <c r="D3" s="642">
        <f t="shared" si="6"/>
        <v>51342445.299999997</v>
      </c>
      <c r="E3" s="642">
        <f t="shared" si="6"/>
        <v>556408377.21000004</v>
      </c>
      <c r="F3" s="642">
        <f t="shared" si="6"/>
        <v>49338780.710000001</v>
      </c>
      <c r="G3" s="642">
        <f t="shared" si="6"/>
        <v>192436975.72999999</v>
      </c>
      <c r="H3" s="642">
        <f t="shared" si="6"/>
        <v>8419211.1600000001</v>
      </c>
      <c r="I3" s="864">
        <f t="shared" si="1"/>
        <v>4.3750485726883545E-2</v>
      </c>
      <c r="J3" s="642">
        <f>J4+J6+J8+J10+J12+J16</f>
        <v>19180.22</v>
      </c>
      <c r="K3" s="642">
        <f>K4+K6+K8+K10+K12+K16</f>
        <v>10987.01</v>
      </c>
      <c r="L3" s="642">
        <f>L4+L6+L8+L10+L12+L16</f>
        <v>0</v>
      </c>
      <c r="M3" s="642">
        <f>M4+M6+M8+M10+M12+M16</f>
        <v>24898.39</v>
      </c>
      <c r="N3" s="642">
        <f>N4+N6+N8+N10+N12+N16</f>
        <v>30075.200000000001</v>
      </c>
    </row>
    <row r="4" spans="1:65" s="867" customFormat="1" x14ac:dyDescent="0.35">
      <c r="A4" s="865" t="s">
        <v>351</v>
      </c>
      <c r="B4" s="657">
        <f>B5</f>
        <v>696901</v>
      </c>
      <c r="C4" s="657">
        <f t="shared" ref="C4:J4" si="7">C5</f>
        <v>0</v>
      </c>
      <c r="D4" s="657">
        <f t="shared" si="7"/>
        <v>5018637</v>
      </c>
      <c r="E4" s="657">
        <f t="shared" si="7"/>
        <v>370254880</v>
      </c>
      <c r="F4" s="657">
        <f t="shared" si="7"/>
        <v>3511740</v>
      </c>
      <c r="G4" s="657">
        <f t="shared" si="7"/>
        <v>40247922</v>
      </c>
      <c r="H4" s="657">
        <f t="shared" si="7"/>
        <v>0</v>
      </c>
      <c r="I4" s="866">
        <f t="shared" si="1"/>
        <v>0</v>
      </c>
      <c r="J4" s="657">
        <f t="shared" si="7"/>
        <v>1737.9</v>
      </c>
      <c r="K4" s="657">
        <f t="shared" ref="K4" si="8">K5</f>
        <v>5263.9</v>
      </c>
      <c r="L4" s="657">
        <f t="shared" ref="L4" si="9">L5</f>
        <v>0</v>
      </c>
      <c r="M4" s="657">
        <f t="shared" ref="M4" si="10">M5</f>
        <v>7149.44</v>
      </c>
      <c r="N4" s="657">
        <f t="shared" ref="N4" si="11">N5</f>
        <v>11078.84</v>
      </c>
      <c r="O4" s="617"/>
      <c r="P4" s="617"/>
      <c r="Q4" s="617"/>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c r="BJ4" s="617"/>
      <c r="BK4" s="617"/>
      <c r="BL4" s="617"/>
      <c r="BM4" s="617"/>
    </row>
    <row r="5" spans="1:65" x14ac:dyDescent="0.35">
      <c r="A5" s="636" t="s">
        <v>352</v>
      </c>
      <c r="B5" s="697">
        <f>'GHG and Energy Use Dec'!Q7</f>
        <v>696901</v>
      </c>
      <c r="C5" s="697">
        <f>'GHG and Energy Use Dec'!R7</f>
        <v>0</v>
      </c>
      <c r="D5" s="697">
        <f>'GHG and Energy Use Dec'!S7</f>
        <v>5018637</v>
      </c>
      <c r="E5" s="697">
        <f>833720+369421160</f>
        <v>370254880</v>
      </c>
      <c r="F5" s="697">
        <f>3511740</f>
        <v>3511740</v>
      </c>
      <c r="G5" s="697">
        <f>3305806+36942116</f>
        <v>40247922</v>
      </c>
      <c r="H5" s="697">
        <v>0</v>
      </c>
      <c r="I5" s="868">
        <f t="shared" si="1"/>
        <v>0</v>
      </c>
      <c r="J5" s="697">
        <v>1737.9</v>
      </c>
      <c r="K5" s="697">
        <f>4695.19+568.71</f>
        <v>5263.9</v>
      </c>
      <c r="L5" s="697">
        <v>0</v>
      </c>
      <c r="M5" s="697">
        <f>6954.83+194.61</f>
        <v>7149.44</v>
      </c>
      <c r="N5" s="780">
        <f>10511.89+566.95</f>
        <v>11078.84</v>
      </c>
    </row>
    <row r="6" spans="1:65" s="867" customFormat="1" x14ac:dyDescent="0.35">
      <c r="A6" s="865" t="s">
        <v>354</v>
      </c>
      <c r="B6" s="657">
        <f>B7</f>
        <v>208163.14</v>
      </c>
      <c r="C6" s="657">
        <f t="shared" ref="C6:J6" si="12">C7</f>
        <v>0</v>
      </c>
      <c r="D6" s="657">
        <f t="shared" si="12"/>
        <v>4353503.1399999997</v>
      </c>
      <c r="E6" s="657">
        <f t="shared" si="12"/>
        <v>35712504</v>
      </c>
      <c r="F6" s="657">
        <f t="shared" si="12"/>
        <v>4352132</v>
      </c>
      <c r="G6" s="657">
        <f t="shared" si="12"/>
        <v>28627297.199999999</v>
      </c>
      <c r="H6" s="657">
        <f t="shared" si="12"/>
        <v>0</v>
      </c>
      <c r="I6" s="866">
        <f t="shared" si="1"/>
        <v>0</v>
      </c>
      <c r="J6" s="657">
        <f t="shared" si="12"/>
        <v>3595.8</v>
      </c>
      <c r="K6" s="657">
        <f t="shared" ref="K6" si="13">K7</f>
        <v>1531.04</v>
      </c>
      <c r="L6" s="657">
        <f t="shared" ref="L6" si="14">L7</f>
        <v>0</v>
      </c>
      <c r="M6" s="657">
        <f t="shared" ref="M6" si="15">M7</f>
        <v>833.41</v>
      </c>
      <c r="N6" s="657">
        <f t="shared" ref="N6" si="16">N7</f>
        <v>1887.94</v>
      </c>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17"/>
    </row>
    <row r="7" spans="1:65" x14ac:dyDescent="0.35">
      <c r="A7" s="636" t="s">
        <v>355</v>
      </c>
      <c r="B7" s="697">
        <f>'GHG and Energy Use Dec'!Q10</f>
        <v>208163.14</v>
      </c>
      <c r="C7" s="697">
        <f>'GHG and Energy Use Dec'!R10</f>
        <v>0</v>
      </c>
      <c r="D7" s="697">
        <f>'GHG and Energy Use Dec'!S10</f>
        <v>4353503.1399999997</v>
      </c>
      <c r="E7" s="697">
        <f>35712504</f>
        <v>35712504</v>
      </c>
      <c r="F7" s="697">
        <v>4352132</v>
      </c>
      <c r="G7" s="697">
        <v>28627297.199999999</v>
      </c>
      <c r="H7" s="697">
        <v>0</v>
      </c>
      <c r="I7" s="868">
        <f t="shared" si="1"/>
        <v>0</v>
      </c>
      <c r="J7" s="697">
        <v>3595.8</v>
      </c>
      <c r="K7" s="697">
        <v>1531.04</v>
      </c>
      <c r="L7" s="697">
        <v>0</v>
      </c>
      <c r="M7" s="697">
        <v>833.41</v>
      </c>
      <c r="N7" s="780">
        <v>1887.94</v>
      </c>
    </row>
    <row r="8" spans="1:65" s="867" customFormat="1" x14ac:dyDescent="0.35">
      <c r="A8" s="865" t="s">
        <v>356</v>
      </c>
      <c r="B8" s="657">
        <f>B9</f>
        <v>816250</v>
      </c>
      <c r="C8" s="657">
        <f t="shared" ref="C8:J8" si="17">C9</f>
        <v>0</v>
      </c>
      <c r="D8" s="657">
        <f t="shared" si="17"/>
        <v>7273524.7000000002</v>
      </c>
      <c r="E8" s="657">
        <f t="shared" si="17"/>
        <v>26139167</v>
      </c>
      <c r="F8" s="657">
        <f t="shared" si="17"/>
        <v>7727055.4800000004</v>
      </c>
      <c r="G8" s="657">
        <f t="shared" si="17"/>
        <v>31313266.879999999</v>
      </c>
      <c r="H8" s="657">
        <f t="shared" si="17"/>
        <v>0</v>
      </c>
      <c r="I8" s="866">
        <f t="shared" si="1"/>
        <v>0</v>
      </c>
      <c r="J8" s="657">
        <f t="shared" si="17"/>
        <v>7138.9</v>
      </c>
      <c r="K8" s="657">
        <f t="shared" ref="K8" si="18">K9</f>
        <v>921.41</v>
      </c>
      <c r="L8" s="657">
        <f t="shared" ref="L8" si="19">L9</f>
        <v>0</v>
      </c>
      <c r="M8" s="657">
        <f t="shared" ref="M8" si="20">M9</f>
        <v>3178.9</v>
      </c>
      <c r="N8" s="657">
        <f t="shared" ref="N8" si="21">N9</f>
        <v>2802.6</v>
      </c>
      <c r="O8" s="617"/>
      <c r="P8" s="617"/>
      <c r="Q8" s="617"/>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617"/>
      <c r="AX8" s="617"/>
      <c r="AY8" s="617"/>
      <c r="AZ8" s="617"/>
      <c r="BA8" s="617"/>
      <c r="BB8" s="617"/>
      <c r="BC8" s="617"/>
      <c r="BD8" s="617"/>
      <c r="BE8" s="617"/>
      <c r="BF8" s="617"/>
      <c r="BG8" s="617"/>
      <c r="BH8" s="617"/>
      <c r="BI8" s="617"/>
      <c r="BJ8" s="617"/>
      <c r="BK8" s="617"/>
      <c r="BL8" s="617"/>
      <c r="BM8" s="617"/>
    </row>
    <row r="9" spans="1:65" x14ac:dyDescent="0.35">
      <c r="A9" s="636" t="s">
        <v>357</v>
      </c>
      <c r="B9" s="697">
        <f>'GHG and Energy Use Dec'!Q12</f>
        <v>816250</v>
      </c>
      <c r="C9" s="697">
        <f>'GHG and Energy Use Dec'!R12</f>
        <v>0</v>
      </c>
      <c r="D9" s="697">
        <f>'GHG and Energy Use Dec'!S12</f>
        <v>7273524.7000000002</v>
      </c>
      <c r="E9" s="697">
        <v>26139167</v>
      </c>
      <c r="F9" s="697">
        <v>7727055.4800000004</v>
      </c>
      <c r="G9" s="697">
        <v>31313266.879999999</v>
      </c>
      <c r="H9" s="697">
        <v>0</v>
      </c>
      <c r="I9" s="868">
        <f t="shared" si="1"/>
        <v>0</v>
      </c>
      <c r="J9" s="697">
        <v>7138.9</v>
      </c>
      <c r="K9" s="697">
        <v>921.41</v>
      </c>
      <c r="L9" s="697">
        <v>0</v>
      </c>
      <c r="M9" s="697">
        <v>3178.9</v>
      </c>
      <c r="N9" s="780">
        <v>2802.6</v>
      </c>
    </row>
    <row r="10" spans="1:65" s="867" customFormat="1" x14ac:dyDescent="0.35">
      <c r="A10" s="865" t="s">
        <v>358</v>
      </c>
      <c r="B10" s="657">
        <f>B11</f>
        <v>0</v>
      </c>
      <c r="C10" s="657">
        <f t="shared" ref="C10:J10" si="22">C11</f>
        <v>151240986</v>
      </c>
      <c r="D10" s="657">
        <f t="shared" si="22"/>
        <v>2831663</v>
      </c>
      <c r="E10" s="657">
        <f t="shared" si="22"/>
        <v>107249</v>
      </c>
      <c r="F10" s="657">
        <f t="shared" si="22"/>
        <v>2555479</v>
      </c>
      <c r="G10" s="657">
        <f t="shared" si="22"/>
        <v>1694032</v>
      </c>
      <c r="H10" s="657">
        <f t="shared" si="22"/>
        <v>0</v>
      </c>
      <c r="I10" s="866">
        <f t="shared" si="1"/>
        <v>0</v>
      </c>
      <c r="J10" s="657">
        <f t="shared" si="22"/>
        <v>0</v>
      </c>
      <c r="K10" s="657">
        <f t="shared" ref="K10" si="23">K11</f>
        <v>2006.48</v>
      </c>
      <c r="L10" s="657">
        <f t="shared" ref="L10" si="24">L11</f>
        <v>0</v>
      </c>
      <c r="M10" s="657">
        <f t="shared" ref="M10" si="25">M11</f>
        <v>2656.61</v>
      </c>
      <c r="N10" s="657">
        <f t="shared" ref="N10" si="26">N11</f>
        <v>1810.73</v>
      </c>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row>
    <row r="11" spans="1:65" x14ac:dyDescent="0.35">
      <c r="A11" s="636" t="s">
        <v>359</v>
      </c>
      <c r="B11" s="697">
        <f>'GHG and Energy Use Dec'!Q14</f>
        <v>0</v>
      </c>
      <c r="C11" s="697">
        <f>'GHG and Energy Use Dec'!R14</f>
        <v>151240986</v>
      </c>
      <c r="D11" s="697">
        <f>'GHG and Energy Use Dec'!S14</f>
        <v>2831663</v>
      </c>
      <c r="E11" s="697">
        <v>107249</v>
      </c>
      <c r="F11" s="697">
        <v>2555479</v>
      </c>
      <c r="G11" s="697">
        <v>1694032</v>
      </c>
      <c r="H11" s="697">
        <v>0</v>
      </c>
      <c r="I11" s="868">
        <f t="shared" si="1"/>
        <v>0</v>
      </c>
      <c r="J11" s="697">
        <v>0</v>
      </c>
      <c r="K11" s="697">
        <v>2006.48</v>
      </c>
      <c r="L11" s="697">
        <v>0</v>
      </c>
      <c r="M11" s="697">
        <v>2656.61</v>
      </c>
      <c r="N11" s="780">
        <v>1810.73</v>
      </c>
    </row>
    <row r="12" spans="1:65" s="867" customFormat="1" x14ac:dyDescent="0.35">
      <c r="A12" s="865" t="s">
        <v>360</v>
      </c>
      <c r="B12" s="657">
        <f>B13+B14+B15</f>
        <v>566763.66</v>
      </c>
      <c r="C12" s="657">
        <f t="shared" ref="C12:J12" si="27">C13+C14+C15</f>
        <v>0</v>
      </c>
      <c r="D12" s="657">
        <f t="shared" si="27"/>
        <v>6154269.79</v>
      </c>
      <c r="E12" s="657">
        <f t="shared" si="27"/>
        <v>60681556.359999999</v>
      </c>
      <c r="F12" s="657">
        <f t="shared" si="27"/>
        <v>5953086.4000000004</v>
      </c>
      <c r="G12" s="657">
        <f t="shared" si="27"/>
        <v>2617037.3000000003</v>
      </c>
      <c r="H12" s="657">
        <f t="shared" si="27"/>
        <v>0</v>
      </c>
      <c r="I12" s="866">
        <f t="shared" si="1"/>
        <v>0</v>
      </c>
      <c r="J12" s="657">
        <f t="shared" si="27"/>
        <v>6707.6200000000008</v>
      </c>
      <c r="K12" s="657">
        <f t="shared" ref="K12" si="28">K13+K14+K15</f>
        <v>801.95</v>
      </c>
      <c r="L12" s="657">
        <f t="shared" ref="L12" si="29">L13+L14+L15</f>
        <v>0</v>
      </c>
      <c r="M12" s="657">
        <f t="shared" ref="M12" si="30">M13+M14+M15</f>
        <v>6288.59</v>
      </c>
      <c r="N12" s="657">
        <f t="shared" ref="N12" si="31">N13+N14+N15</f>
        <v>7669.5</v>
      </c>
      <c r="O12" s="617"/>
      <c r="P12" s="617"/>
      <c r="Q12" s="617"/>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7"/>
      <c r="AY12" s="617"/>
      <c r="AZ12" s="617"/>
      <c r="BA12" s="617"/>
      <c r="BB12" s="617"/>
      <c r="BC12" s="617"/>
      <c r="BD12" s="617"/>
      <c r="BE12" s="617"/>
      <c r="BF12" s="617"/>
      <c r="BG12" s="617"/>
      <c r="BH12" s="617"/>
      <c r="BI12" s="617"/>
      <c r="BJ12" s="617"/>
      <c r="BK12" s="617"/>
      <c r="BL12" s="617"/>
      <c r="BM12" s="617"/>
    </row>
    <row r="13" spans="1:65" x14ac:dyDescent="0.35">
      <c r="A13" s="636" t="s">
        <v>361</v>
      </c>
      <c r="B13" s="869">
        <f>'GHG and Energy Use Dec'!Q16</f>
        <v>211590.57</v>
      </c>
      <c r="C13" s="869">
        <f>'GHG and Energy Use Dec'!R16</f>
        <v>0</v>
      </c>
      <c r="D13" s="869">
        <f>'GHG and Energy Use Dec'!S16</f>
        <v>768995</v>
      </c>
      <c r="E13" s="697">
        <v>76665.36</v>
      </c>
      <c r="F13" s="697">
        <v>530851.29</v>
      </c>
      <c r="G13" s="697">
        <v>113502.46</v>
      </c>
      <c r="H13" s="697">
        <v>0</v>
      </c>
      <c r="I13" s="868">
        <f t="shared" si="1"/>
        <v>0</v>
      </c>
      <c r="J13" s="697">
        <v>3451</v>
      </c>
      <c r="K13" s="697">
        <v>90.3</v>
      </c>
      <c r="L13" s="697"/>
      <c r="M13" s="697">
        <v>3783.94</v>
      </c>
      <c r="N13" s="780">
        <v>3229.64</v>
      </c>
    </row>
    <row r="14" spans="1:65" x14ac:dyDescent="0.35">
      <c r="A14" s="636" t="s">
        <v>362</v>
      </c>
      <c r="B14" s="869">
        <f>'GHG and Energy Use Dec'!Q17</f>
        <v>45662.7</v>
      </c>
      <c r="C14" s="869">
        <f>'GHG and Energy Use Dec'!R17</f>
        <v>0</v>
      </c>
      <c r="D14" s="869">
        <f>'GHG and Energy Use Dec'!S17</f>
        <v>2164418.7400000002</v>
      </c>
      <c r="E14" s="697">
        <v>0</v>
      </c>
      <c r="F14" s="697">
        <v>2164418.7400000002</v>
      </c>
      <c r="G14" s="697">
        <v>2164418.7400000002</v>
      </c>
      <c r="H14" s="697">
        <v>0</v>
      </c>
      <c r="I14" s="868">
        <f t="shared" si="1"/>
        <v>0</v>
      </c>
      <c r="J14" s="697">
        <v>1830.1</v>
      </c>
      <c r="K14" s="697">
        <v>349.37</v>
      </c>
      <c r="L14" s="697">
        <v>0</v>
      </c>
      <c r="M14" s="697">
        <v>1542.34</v>
      </c>
      <c r="N14" s="780">
        <v>1497.91</v>
      </c>
    </row>
    <row r="15" spans="1:65" x14ac:dyDescent="0.35">
      <c r="A15" s="636" t="s">
        <v>363</v>
      </c>
      <c r="B15" s="697">
        <f>'GHG and Energy Use Dec'!Q18</f>
        <v>309510.39</v>
      </c>
      <c r="C15" s="697">
        <f>'GHG and Energy Use Dec'!R18</f>
        <v>0</v>
      </c>
      <c r="D15" s="697">
        <f>'GHG and Energy Use Dec'!S18</f>
        <v>3220856.05</v>
      </c>
      <c r="E15" s="697">
        <v>60604891</v>
      </c>
      <c r="F15" s="697">
        <v>3257816.37</v>
      </c>
      <c r="G15" s="697">
        <v>339116.1</v>
      </c>
      <c r="H15" s="697">
        <v>0</v>
      </c>
      <c r="I15" s="868">
        <f t="shared" si="1"/>
        <v>0</v>
      </c>
      <c r="J15" s="697">
        <v>1426.52</v>
      </c>
      <c r="K15" s="697">
        <v>362.28</v>
      </c>
      <c r="L15" s="697">
        <v>0</v>
      </c>
      <c r="M15" s="697">
        <v>962.31</v>
      </c>
      <c r="N15" s="780">
        <v>2941.95</v>
      </c>
    </row>
    <row r="16" spans="1:65" s="867" customFormat="1" x14ac:dyDescent="0.35">
      <c r="A16" s="865" t="s">
        <v>364</v>
      </c>
      <c r="B16" s="657">
        <f>B17</f>
        <v>0</v>
      </c>
      <c r="C16" s="657">
        <f t="shared" ref="C16:J16" si="32">C17</f>
        <v>242099846.72</v>
      </c>
      <c r="D16" s="657">
        <f t="shared" si="32"/>
        <v>25710847.670000002</v>
      </c>
      <c r="E16" s="657">
        <f t="shared" si="32"/>
        <v>63513020.850000001</v>
      </c>
      <c r="F16" s="657">
        <f t="shared" si="32"/>
        <v>25239287.829999998</v>
      </c>
      <c r="G16" s="657">
        <f t="shared" si="32"/>
        <v>87937420.349999994</v>
      </c>
      <c r="H16" s="657">
        <f t="shared" si="32"/>
        <v>8419211.1600000001</v>
      </c>
      <c r="I16" s="866">
        <f t="shared" si="1"/>
        <v>9.5740938573029233E-2</v>
      </c>
      <c r="J16" s="657">
        <f t="shared" si="32"/>
        <v>0</v>
      </c>
      <c r="K16" s="657">
        <f t="shared" ref="K16" si="33">K17</f>
        <v>462.23</v>
      </c>
      <c r="L16" s="657">
        <f t="shared" ref="L16" si="34">L17</f>
        <v>0</v>
      </c>
      <c r="M16" s="657">
        <f t="shared" ref="M16" si="35">M17</f>
        <v>4791.4399999999996</v>
      </c>
      <c r="N16" s="657">
        <f t="shared" ref="N16" si="36">N17</f>
        <v>4825.59</v>
      </c>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617"/>
      <c r="AX16" s="617"/>
      <c r="AY16" s="617"/>
      <c r="AZ16" s="617"/>
      <c r="BA16" s="617"/>
      <c r="BB16" s="617"/>
      <c r="BC16" s="617"/>
      <c r="BD16" s="617"/>
      <c r="BE16" s="617"/>
      <c r="BF16" s="617"/>
      <c r="BG16" s="617"/>
      <c r="BH16" s="617"/>
      <c r="BI16" s="617"/>
      <c r="BJ16" s="617"/>
      <c r="BK16" s="617"/>
      <c r="BL16" s="617"/>
      <c r="BM16" s="617"/>
    </row>
    <row r="17" spans="1:65" x14ac:dyDescent="0.35">
      <c r="A17" s="636" t="s">
        <v>365</v>
      </c>
      <c r="B17" s="697">
        <f>'GHG and Energy Use Dec'!Q20</f>
        <v>0</v>
      </c>
      <c r="C17" s="697">
        <f>'GHG and Energy Use Dec'!R20</f>
        <v>242099846.72</v>
      </c>
      <c r="D17" s="697">
        <f>'GHG and Energy Use Dec'!S20</f>
        <v>25710847.670000002</v>
      </c>
      <c r="E17" s="697">
        <v>63513020.850000001</v>
      </c>
      <c r="F17" s="697">
        <v>25239287.829999998</v>
      </c>
      <c r="G17" s="697">
        <v>87937420.349999994</v>
      </c>
      <c r="H17" s="697">
        <v>8419211.1600000001</v>
      </c>
      <c r="I17" s="868">
        <f t="shared" si="1"/>
        <v>9.5740938573029233E-2</v>
      </c>
      <c r="J17" s="697">
        <v>0</v>
      </c>
      <c r="K17" s="697">
        <v>462.23</v>
      </c>
      <c r="L17" s="697">
        <v>0</v>
      </c>
      <c r="M17" s="697">
        <v>4791.4399999999996</v>
      </c>
      <c r="N17" s="780">
        <v>4825.59</v>
      </c>
    </row>
    <row r="18" spans="1:65" s="654" customFormat="1" x14ac:dyDescent="0.35">
      <c r="A18" s="863" t="s">
        <v>366</v>
      </c>
      <c r="B18" s="642">
        <f>B19+B22+B25+B27+B30</f>
        <v>1200294.9300000002</v>
      </c>
      <c r="C18" s="642">
        <f t="shared" ref="C18:J18" si="37">C19+C22+C25+C27+C30</f>
        <v>0</v>
      </c>
      <c r="D18" s="642">
        <f t="shared" si="37"/>
        <v>31340418.280000001</v>
      </c>
      <c r="E18" s="642">
        <f t="shared" si="37"/>
        <v>82356979.049999997</v>
      </c>
      <c r="F18" s="642">
        <f t="shared" si="37"/>
        <v>12978768</v>
      </c>
      <c r="G18" s="642">
        <f t="shared" si="37"/>
        <v>95335747</v>
      </c>
      <c r="H18" s="642">
        <f t="shared" si="37"/>
        <v>25810338.489999998</v>
      </c>
      <c r="I18" s="864">
        <f t="shared" si="1"/>
        <v>0.27073096191295376</v>
      </c>
      <c r="J18" s="642">
        <f t="shared" si="37"/>
        <v>7054.1399999999994</v>
      </c>
      <c r="K18" s="642">
        <f t="shared" ref="K18" si="38">K19+K22+K25+K27+K30</f>
        <v>11267.949999999999</v>
      </c>
      <c r="L18" s="642">
        <f t="shared" ref="L18" si="39">L19+L22+L25+L27+L30</f>
        <v>38.337941999999998</v>
      </c>
      <c r="M18" s="642">
        <f t="shared" ref="M18" si="40">M19+M22+M25+M27+M30</f>
        <v>36958.57</v>
      </c>
      <c r="N18" s="642">
        <f t="shared" ref="N18" si="41">N19+N22+N25+N27+N30</f>
        <v>17110.329999999998</v>
      </c>
    </row>
    <row r="19" spans="1:65" s="867" customFormat="1" x14ac:dyDescent="0.35">
      <c r="A19" s="865" t="s">
        <v>367</v>
      </c>
      <c r="B19" s="657">
        <f>B20+B21</f>
        <v>344045.43</v>
      </c>
      <c r="C19" s="657">
        <f t="shared" ref="C19:J19" si="42">C20+C21</f>
        <v>0</v>
      </c>
      <c r="D19" s="657">
        <f t="shared" si="42"/>
        <v>22229425</v>
      </c>
      <c r="E19" s="657">
        <f t="shared" si="42"/>
        <v>54494740</v>
      </c>
      <c r="F19" s="657">
        <f t="shared" si="42"/>
        <v>0</v>
      </c>
      <c r="G19" s="657">
        <f t="shared" si="42"/>
        <v>54494740</v>
      </c>
      <c r="H19" s="657">
        <f t="shared" si="42"/>
        <v>0</v>
      </c>
      <c r="I19" s="866">
        <f t="shared" si="1"/>
        <v>0</v>
      </c>
      <c r="J19" s="657">
        <f t="shared" si="42"/>
        <v>79.45</v>
      </c>
      <c r="K19" s="657">
        <f t="shared" ref="K19" si="43">K20+K21</f>
        <v>8604.41</v>
      </c>
      <c r="L19" s="657">
        <f t="shared" ref="L19" si="44">L20+L21</f>
        <v>37.54</v>
      </c>
      <c r="M19" s="657">
        <f t="shared" ref="M19" si="45">M20+M21</f>
        <v>20560</v>
      </c>
      <c r="N19" s="657">
        <f t="shared" ref="N19" si="46">N20+N21</f>
        <v>9048</v>
      </c>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c r="AU19" s="617"/>
      <c r="AV19" s="617"/>
      <c r="AW19" s="617"/>
      <c r="AX19" s="617"/>
      <c r="AY19" s="617"/>
      <c r="AZ19" s="617"/>
      <c r="BA19" s="617"/>
      <c r="BB19" s="617"/>
      <c r="BC19" s="617"/>
      <c r="BD19" s="617"/>
      <c r="BE19" s="617"/>
      <c r="BF19" s="617"/>
      <c r="BG19" s="617"/>
      <c r="BH19" s="617"/>
      <c r="BI19" s="617"/>
      <c r="BJ19" s="617"/>
      <c r="BK19" s="617"/>
      <c r="BL19" s="617"/>
      <c r="BM19" s="617"/>
    </row>
    <row r="20" spans="1:65" x14ac:dyDescent="0.35">
      <c r="A20" s="636" t="s">
        <v>368</v>
      </c>
      <c r="B20" s="697">
        <f>'GHG and Energy Use Dec'!Q23</f>
        <v>344045.43</v>
      </c>
      <c r="C20" s="697">
        <f>'GHG and Energy Use Dec'!R23</f>
        <v>0</v>
      </c>
      <c r="D20" s="697">
        <f>'GHG and Energy Use Dec'!S23</f>
        <v>22229425</v>
      </c>
      <c r="E20" s="697">
        <v>54494740</v>
      </c>
      <c r="F20" s="697">
        <v>0</v>
      </c>
      <c r="G20" s="697">
        <v>54494740</v>
      </c>
      <c r="H20" s="697">
        <v>0</v>
      </c>
      <c r="I20" s="868">
        <f t="shared" si="1"/>
        <v>0</v>
      </c>
      <c r="J20" s="697">
        <v>79.45</v>
      </c>
      <c r="K20" s="697">
        <v>7918.67</v>
      </c>
      <c r="L20" s="697">
        <v>37.54</v>
      </c>
      <c r="M20" s="697">
        <v>14618</v>
      </c>
      <c r="N20" s="780">
        <v>8528</v>
      </c>
    </row>
    <row r="21" spans="1:65" x14ac:dyDescent="0.35">
      <c r="A21" s="636" t="s">
        <v>369</v>
      </c>
      <c r="B21" s="697">
        <v>0</v>
      </c>
      <c r="C21" s="697">
        <v>0</v>
      </c>
      <c r="D21" s="697">
        <v>0</v>
      </c>
      <c r="E21" s="697">
        <v>0</v>
      </c>
      <c r="F21" s="697">
        <v>0</v>
      </c>
      <c r="G21" s="697">
        <f>F21+E21</f>
        <v>0</v>
      </c>
      <c r="H21" s="697">
        <v>0</v>
      </c>
      <c r="I21" s="868" t="s">
        <v>505</v>
      </c>
      <c r="J21" s="697">
        <v>0</v>
      </c>
      <c r="K21" s="697">
        <v>685.74</v>
      </c>
      <c r="L21" s="697">
        <v>0</v>
      </c>
      <c r="M21" s="697">
        <v>5942</v>
      </c>
      <c r="N21" s="780">
        <v>520</v>
      </c>
    </row>
    <row r="22" spans="1:65" s="867" customFormat="1" x14ac:dyDescent="0.35">
      <c r="A22" s="865" t="s">
        <v>371</v>
      </c>
      <c r="B22" s="657">
        <f>B23</f>
        <v>0</v>
      </c>
      <c r="C22" s="657">
        <f t="shared" ref="C22:J22" si="47">C23</f>
        <v>0</v>
      </c>
      <c r="D22" s="657">
        <f t="shared" si="47"/>
        <v>0</v>
      </c>
      <c r="E22" s="657">
        <f t="shared" si="47"/>
        <v>0</v>
      </c>
      <c r="F22" s="657">
        <f t="shared" si="47"/>
        <v>0</v>
      </c>
      <c r="G22" s="657">
        <f t="shared" si="47"/>
        <v>0</v>
      </c>
      <c r="H22" s="657">
        <f t="shared" si="47"/>
        <v>0</v>
      </c>
      <c r="I22" s="657" t="s">
        <v>505</v>
      </c>
      <c r="J22" s="657">
        <f t="shared" si="47"/>
        <v>0</v>
      </c>
      <c r="K22" s="657">
        <f t="shared" ref="K22" si="48">K23</f>
        <v>109.24</v>
      </c>
      <c r="L22" s="657">
        <f t="shared" ref="L22" si="49">L23</f>
        <v>0</v>
      </c>
      <c r="M22" s="657">
        <f t="shared" ref="M22" si="50">M23</f>
        <v>167.83</v>
      </c>
      <c r="N22" s="657">
        <f t="shared" ref="N22" si="51">N23</f>
        <v>0</v>
      </c>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7"/>
      <c r="AZ22" s="617"/>
      <c r="BA22" s="617"/>
      <c r="BB22" s="617"/>
      <c r="BC22" s="617"/>
      <c r="BD22" s="617"/>
      <c r="BE22" s="617"/>
      <c r="BF22" s="617"/>
      <c r="BG22" s="617"/>
      <c r="BH22" s="617"/>
      <c r="BI22" s="617"/>
      <c r="BJ22" s="617"/>
      <c r="BK22" s="617"/>
      <c r="BL22" s="617"/>
      <c r="BM22" s="617"/>
    </row>
    <row r="23" spans="1:65" x14ac:dyDescent="0.35">
      <c r="A23" s="636" t="s">
        <v>372</v>
      </c>
      <c r="B23" s="697">
        <v>0</v>
      </c>
      <c r="C23" s="697">
        <v>0</v>
      </c>
      <c r="D23" s="697">
        <v>0</v>
      </c>
      <c r="E23" s="697">
        <v>0</v>
      </c>
      <c r="F23" s="697">
        <v>0</v>
      </c>
      <c r="G23" s="697">
        <f>F23+E23</f>
        <v>0</v>
      </c>
      <c r="H23" s="697">
        <v>0</v>
      </c>
      <c r="I23" s="868" t="s">
        <v>505</v>
      </c>
      <c r="J23" s="697">
        <v>0</v>
      </c>
      <c r="K23" s="697">
        <v>109.24</v>
      </c>
      <c r="L23" s="697">
        <v>0</v>
      </c>
      <c r="M23" s="697">
        <v>167.83</v>
      </c>
      <c r="N23" s="780">
        <v>0</v>
      </c>
    </row>
    <row r="24" spans="1:65" hidden="1" x14ac:dyDescent="0.35">
      <c r="A24" s="636" t="s">
        <v>373</v>
      </c>
      <c r="B24" s="697"/>
      <c r="C24" s="697"/>
      <c r="D24" s="697"/>
      <c r="E24" s="697"/>
      <c r="F24" s="697"/>
      <c r="G24" s="697"/>
      <c r="H24" s="697"/>
      <c r="I24" s="868" t="s">
        <v>505</v>
      </c>
      <c r="J24" s="697"/>
      <c r="K24" s="697"/>
      <c r="L24" s="697"/>
      <c r="M24" s="697"/>
      <c r="N24" s="780"/>
    </row>
    <row r="25" spans="1:65" s="867" customFormat="1" x14ac:dyDescent="0.35">
      <c r="A25" s="865" t="s">
        <v>374</v>
      </c>
      <c r="B25" s="657">
        <f>B26</f>
        <v>813594.89</v>
      </c>
      <c r="C25" s="657">
        <f t="shared" ref="C25:J25" si="52">C26</f>
        <v>0</v>
      </c>
      <c r="D25" s="657">
        <f t="shared" si="52"/>
        <v>9110993.2799999993</v>
      </c>
      <c r="E25" s="657">
        <f t="shared" si="52"/>
        <v>27862239.050000001</v>
      </c>
      <c r="F25" s="657">
        <f t="shared" si="52"/>
        <v>12978768</v>
      </c>
      <c r="G25" s="657">
        <f t="shared" si="52"/>
        <v>40841007</v>
      </c>
      <c r="H25" s="657">
        <f t="shared" si="52"/>
        <v>25810338.489999998</v>
      </c>
      <c r="I25" s="866">
        <f>H25/G25</f>
        <v>0.63197115805690096</v>
      </c>
      <c r="J25" s="657">
        <f t="shared" si="52"/>
        <v>4633</v>
      </c>
      <c r="K25" s="657">
        <f t="shared" ref="K25" si="53">K26</f>
        <v>2293.52</v>
      </c>
      <c r="L25" s="657">
        <f t="shared" ref="L25" si="54">L26</f>
        <v>0.11749999999999999</v>
      </c>
      <c r="M25" s="657">
        <f t="shared" ref="M25" si="55">M26</f>
        <v>15258.2</v>
      </c>
      <c r="N25" s="657">
        <f t="shared" ref="N25" si="56">N26</f>
        <v>8020.96</v>
      </c>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17"/>
    </row>
    <row r="26" spans="1:65" x14ac:dyDescent="0.35">
      <c r="A26" s="636" t="s">
        <v>375</v>
      </c>
      <c r="B26" s="697">
        <f>'GHG and Energy Use Dec'!Q26</f>
        <v>813594.89</v>
      </c>
      <c r="C26" s="697">
        <f>'GHG and Energy Use Dec'!R26</f>
        <v>0</v>
      </c>
      <c r="D26" s="697">
        <f>'GHG and Energy Use Dec'!S26</f>
        <v>9110993.2799999993</v>
      </c>
      <c r="E26" s="697">
        <v>27862239.050000001</v>
      </c>
      <c r="F26" s="697">
        <v>12978768</v>
      </c>
      <c r="G26" s="697">
        <v>40841007</v>
      </c>
      <c r="H26" s="697">
        <v>25810338.489999998</v>
      </c>
      <c r="I26" s="868">
        <f>H26/G26</f>
        <v>0.63197115805690096</v>
      </c>
      <c r="J26" s="697">
        <v>4633</v>
      </c>
      <c r="K26" s="697">
        <v>2293.52</v>
      </c>
      <c r="L26" s="697">
        <v>0.11749999999999999</v>
      </c>
      <c r="M26" s="697">
        <v>15258.2</v>
      </c>
      <c r="N26" s="780">
        <v>8020.96</v>
      </c>
    </row>
    <row r="27" spans="1:65" s="867" customFormat="1" x14ac:dyDescent="0.35">
      <c r="A27" s="865" t="s">
        <v>376</v>
      </c>
      <c r="B27" s="657">
        <f>B28+B29</f>
        <v>42654.61</v>
      </c>
      <c r="C27" s="657">
        <f t="shared" ref="C27:J27" si="57">C28+C29</f>
        <v>0</v>
      </c>
      <c r="D27" s="657">
        <f t="shared" si="57"/>
        <v>0</v>
      </c>
      <c r="E27" s="657">
        <f t="shared" si="57"/>
        <v>0</v>
      </c>
      <c r="F27" s="657">
        <f t="shared" si="57"/>
        <v>0</v>
      </c>
      <c r="G27" s="657">
        <f t="shared" si="57"/>
        <v>0</v>
      </c>
      <c r="H27" s="657">
        <f t="shared" si="57"/>
        <v>0</v>
      </c>
      <c r="I27" s="657" t="s">
        <v>505</v>
      </c>
      <c r="J27" s="657">
        <f t="shared" si="57"/>
        <v>2341.69</v>
      </c>
      <c r="K27" s="657">
        <f t="shared" ref="K27" si="58">K28+K29</f>
        <v>237.98000000000002</v>
      </c>
      <c r="L27" s="657">
        <f t="shared" ref="L27" si="59">L28+L29</f>
        <v>0.68</v>
      </c>
      <c r="M27" s="657">
        <f t="shared" ref="M27" si="60">M28+M29</f>
        <v>372.54</v>
      </c>
      <c r="N27" s="657">
        <f t="shared" ref="N27" si="61">N28+N29</f>
        <v>41.37</v>
      </c>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17"/>
    </row>
    <row r="28" spans="1:65" x14ac:dyDescent="0.35">
      <c r="A28" s="636" t="s">
        <v>377</v>
      </c>
      <c r="B28" s="697">
        <f>'GHG and Energy Use Dec'!Q28</f>
        <v>15736.65</v>
      </c>
      <c r="C28" s="697">
        <f>'GHG and Energy Use Dec'!R28</f>
        <v>0</v>
      </c>
      <c r="D28" s="697">
        <f>'GHG and Energy Use Dec'!S28</f>
        <v>0</v>
      </c>
      <c r="E28" s="697">
        <v>0</v>
      </c>
      <c r="F28" s="697">
        <v>0</v>
      </c>
      <c r="G28" s="697">
        <f>F28+E28</f>
        <v>0</v>
      </c>
      <c r="H28" s="697">
        <v>0</v>
      </c>
      <c r="I28" s="868" t="s">
        <v>505</v>
      </c>
      <c r="J28" s="697">
        <v>890</v>
      </c>
      <c r="K28" s="697">
        <v>186.53</v>
      </c>
      <c r="L28" s="697">
        <v>0.56000000000000005</v>
      </c>
      <c r="M28" s="697">
        <v>109.8</v>
      </c>
      <c r="N28" s="780">
        <v>0</v>
      </c>
    </row>
    <row r="29" spans="1:65" x14ac:dyDescent="0.35">
      <c r="A29" s="636" t="s">
        <v>378</v>
      </c>
      <c r="B29" s="697">
        <f>'GHG and Energy Use Dec'!Q29</f>
        <v>26917.96</v>
      </c>
      <c r="C29" s="697">
        <f>'GHG and Energy Use Dec'!R29</f>
        <v>0</v>
      </c>
      <c r="D29" s="697">
        <f>'GHG and Energy Use Dec'!S29</f>
        <v>0</v>
      </c>
      <c r="E29" s="697">
        <v>0</v>
      </c>
      <c r="F29" s="697">
        <v>0</v>
      </c>
      <c r="G29" s="697">
        <f>F29+E29</f>
        <v>0</v>
      </c>
      <c r="H29" s="697">
        <v>0</v>
      </c>
      <c r="I29" s="868" t="s">
        <v>505</v>
      </c>
      <c r="J29" s="697">
        <v>1451.69</v>
      </c>
      <c r="K29" s="697">
        <v>51.45</v>
      </c>
      <c r="L29" s="697">
        <v>0.12</v>
      </c>
      <c r="M29" s="697">
        <v>262.74</v>
      </c>
      <c r="N29" s="780">
        <v>41.37</v>
      </c>
    </row>
    <row r="30" spans="1:65" s="867" customFormat="1" x14ac:dyDescent="0.35">
      <c r="A30" s="865" t="s">
        <v>379</v>
      </c>
      <c r="B30" s="657">
        <f>B31</f>
        <v>0</v>
      </c>
      <c r="C30" s="657">
        <f t="shared" ref="C30:J30" si="62">C31</f>
        <v>0</v>
      </c>
      <c r="D30" s="657">
        <f t="shared" si="62"/>
        <v>0</v>
      </c>
      <c r="E30" s="657">
        <f t="shared" si="62"/>
        <v>0</v>
      </c>
      <c r="F30" s="657">
        <f t="shared" si="62"/>
        <v>0</v>
      </c>
      <c r="G30" s="657">
        <f t="shared" si="62"/>
        <v>0</v>
      </c>
      <c r="H30" s="657">
        <f t="shared" si="62"/>
        <v>0</v>
      </c>
      <c r="I30" s="657" t="s">
        <v>505</v>
      </c>
      <c r="J30" s="657">
        <f t="shared" si="62"/>
        <v>0</v>
      </c>
      <c r="K30" s="657">
        <f t="shared" ref="K30" si="63">K31</f>
        <v>22.8</v>
      </c>
      <c r="L30" s="657">
        <f t="shared" ref="L30" si="64">L31</f>
        <v>4.4200000000000294E-4</v>
      </c>
      <c r="M30" s="657">
        <f t="shared" ref="M30" si="65">M31</f>
        <v>600</v>
      </c>
      <c r="N30" s="657">
        <f t="shared" ref="N30" si="66">N31</f>
        <v>0</v>
      </c>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17"/>
    </row>
    <row r="31" spans="1:65" x14ac:dyDescent="0.35">
      <c r="A31" s="636" t="s">
        <v>380</v>
      </c>
      <c r="B31" s="697">
        <f>'GHG and Energy Use Dec'!Q31</f>
        <v>0</v>
      </c>
      <c r="C31" s="697">
        <f>'GHG and Energy Use Dec'!R31</f>
        <v>0</v>
      </c>
      <c r="D31" s="697">
        <f>'GHG and Energy Use Dec'!S31</f>
        <v>0</v>
      </c>
      <c r="E31" s="697">
        <v>0</v>
      </c>
      <c r="F31" s="697">
        <v>0</v>
      </c>
      <c r="G31" s="697">
        <v>0</v>
      </c>
      <c r="H31" s="697">
        <v>0</v>
      </c>
      <c r="I31" s="868" t="s">
        <v>505</v>
      </c>
      <c r="J31" s="697">
        <v>0</v>
      </c>
      <c r="K31" s="697">
        <v>22.8</v>
      </c>
      <c r="L31" s="697">
        <v>4.4200000000000294E-4</v>
      </c>
      <c r="M31" s="697">
        <v>600</v>
      </c>
      <c r="N31" s="780">
        <v>0</v>
      </c>
    </row>
    <row r="32" spans="1:65" s="654" customFormat="1" x14ac:dyDescent="0.35">
      <c r="A32" s="863" t="s">
        <v>381</v>
      </c>
      <c r="B32" s="642">
        <f>B33+B39</f>
        <v>3462114.62</v>
      </c>
      <c r="C32" s="642">
        <f t="shared" ref="C32:J32" si="67">C33+C39</f>
        <v>37888350.950000003</v>
      </c>
      <c r="D32" s="642">
        <f t="shared" si="67"/>
        <v>80317604.010000005</v>
      </c>
      <c r="E32" s="642">
        <f t="shared" si="67"/>
        <v>256705478.62</v>
      </c>
      <c r="F32" s="642">
        <f t="shared" si="67"/>
        <v>36562286.390000001</v>
      </c>
      <c r="G32" s="642">
        <f t="shared" si="67"/>
        <v>223607408.78999999</v>
      </c>
      <c r="H32" s="642">
        <f t="shared" si="67"/>
        <v>25354541.990000002</v>
      </c>
      <c r="I32" s="864">
        <f>H32/G32</f>
        <v>0.1133886490040749</v>
      </c>
      <c r="J32" s="642">
        <f t="shared" si="67"/>
        <v>3085027.0899999994</v>
      </c>
      <c r="K32" s="642">
        <f t="shared" ref="K32" si="68">K33+K39</f>
        <v>660.15000000000009</v>
      </c>
      <c r="L32" s="642">
        <f t="shared" ref="L32" si="69">L33+L39</f>
        <v>203.17</v>
      </c>
      <c r="M32" s="642">
        <f t="shared" ref="M32" si="70">M33+M39</f>
        <v>3806.33</v>
      </c>
      <c r="N32" s="642">
        <f t="shared" ref="N32" si="71">N33+N39</f>
        <v>15167.310000000001</v>
      </c>
    </row>
    <row r="33" spans="1:65" s="867" customFormat="1" x14ac:dyDescent="0.35">
      <c r="A33" s="865" t="s">
        <v>382</v>
      </c>
      <c r="B33" s="657">
        <f>B34</f>
        <v>150094</v>
      </c>
      <c r="C33" s="657">
        <f t="shared" ref="C33:J33" si="72">C34</f>
        <v>0</v>
      </c>
      <c r="D33" s="657">
        <f t="shared" si="72"/>
        <v>1530178</v>
      </c>
      <c r="E33" s="657">
        <f t="shared" si="72"/>
        <v>342093</v>
      </c>
      <c r="F33" s="657">
        <f t="shared" si="72"/>
        <v>1081675.49</v>
      </c>
      <c r="G33" s="657">
        <f t="shared" si="72"/>
        <v>633172.98</v>
      </c>
      <c r="H33" s="657">
        <f t="shared" si="72"/>
        <v>248219.44</v>
      </c>
      <c r="I33" s="866">
        <f>H33/G33</f>
        <v>0.39202468810339952</v>
      </c>
      <c r="J33" s="657">
        <f t="shared" si="72"/>
        <v>244.28</v>
      </c>
      <c r="K33" s="657">
        <f t="shared" ref="K33" si="73">K34</f>
        <v>75.569999999999993</v>
      </c>
      <c r="L33" s="657">
        <f t="shared" ref="L33" si="74">L34</f>
        <v>0</v>
      </c>
      <c r="M33" s="657">
        <f t="shared" ref="M33" si="75">M34</f>
        <v>2833.6</v>
      </c>
      <c r="N33" s="657">
        <f t="shared" ref="N33" si="76">N34</f>
        <v>12.79</v>
      </c>
      <c r="O33" s="617"/>
      <c r="P33" s="617"/>
      <c r="Q33" s="617"/>
      <c r="R33" s="617"/>
      <c r="S33" s="617"/>
      <c r="T33" s="617"/>
      <c r="U33" s="617"/>
      <c r="V33" s="617"/>
      <c r="W33" s="617"/>
      <c r="X33" s="617"/>
      <c r="Y33" s="617"/>
      <c r="Z33" s="617"/>
      <c r="AA33" s="617"/>
      <c r="AB33" s="617"/>
      <c r="AC33" s="617"/>
      <c r="AD33" s="617"/>
      <c r="AE33" s="617"/>
      <c r="AF33" s="617"/>
      <c r="AG33" s="617"/>
      <c r="AH33" s="617"/>
      <c r="AI33" s="617"/>
      <c r="AJ33" s="617"/>
      <c r="AK33" s="617"/>
      <c r="AL33" s="617"/>
      <c r="AM33" s="617"/>
      <c r="AN33" s="617"/>
      <c r="AO33" s="617"/>
      <c r="AP33" s="617"/>
      <c r="AQ33" s="617"/>
      <c r="AR33" s="617"/>
      <c r="AS33" s="617"/>
      <c r="AT33" s="617"/>
      <c r="AU33" s="617"/>
      <c r="AV33" s="617"/>
      <c r="AW33" s="617"/>
      <c r="AX33" s="617"/>
      <c r="AY33" s="617"/>
      <c r="AZ33" s="617"/>
      <c r="BA33" s="617"/>
      <c r="BB33" s="617"/>
      <c r="BC33" s="617"/>
      <c r="BD33" s="617"/>
      <c r="BE33" s="617"/>
      <c r="BF33" s="617"/>
      <c r="BG33" s="617"/>
      <c r="BH33" s="617"/>
      <c r="BI33" s="617"/>
      <c r="BJ33" s="617"/>
      <c r="BK33" s="617"/>
      <c r="BL33" s="617"/>
      <c r="BM33" s="617"/>
    </row>
    <row r="34" spans="1:65" x14ac:dyDescent="0.35">
      <c r="A34" s="636" t="s">
        <v>383</v>
      </c>
      <c r="B34" s="697">
        <f>'GHG and Energy Use Dec'!Q34</f>
        <v>150094</v>
      </c>
      <c r="C34" s="697">
        <f>'GHG and Energy Use Dec'!R34</f>
        <v>0</v>
      </c>
      <c r="D34" s="697">
        <f>'GHG and Energy Use Dec'!S34</f>
        <v>1530178</v>
      </c>
      <c r="E34" s="697">
        <v>342093</v>
      </c>
      <c r="F34" s="697">
        <v>1081675.49</v>
      </c>
      <c r="G34" s="697">
        <v>633172.98</v>
      </c>
      <c r="H34" s="697">
        <v>248219.44</v>
      </c>
      <c r="I34" s="868">
        <f>H34/G34</f>
        <v>0.39202468810339952</v>
      </c>
      <c r="J34" s="697">
        <v>244.28</v>
      </c>
      <c r="K34" s="697">
        <v>75.569999999999993</v>
      </c>
      <c r="L34" s="697">
        <v>0</v>
      </c>
      <c r="M34" s="697">
        <v>2833.6</v>
      </c>
      <c r="N34" s="780">
        <v>12.79</v>
      </c>
    </row>
    <row r="35" spans="1:65" hidden="1" x14ac:dyDescent="0.35">
      <c r="A35" s="636" t="s">
        <v>373</v>
      </c>
      <c r="B35" s="697">
        <v>0</v>
      </c>
      <c r="C35" s="697">
        <v>0</v>
      </c>
      <c r="D35" s="697">
        <v>0</v>
      </c>
      <c r="E35" s="697">
        <v>0</v>
      </c>
      <c r="F35" s="697">
        <v>0</v>
      </c>
      <c r="G35" s="697">
        <v>0</v>
      </c>
      <c r="H35" s="697">
        <v>0</v>
      </c>
      <c r="I35" s="868" t="s">
        <v>505</v>
      </c>
      <c r="J35" s="697">
        <v>0</v>
      </c>
      <c r="K35" s="697"/>
      <c r="L35" s="697"/>
      <c r="M35" s="697"/>
      <c r="N35" s="780"/>
    </row>
    <row r="36" spans="1:65" hidden="1" x14ac:dyDescent="0.35">
      <c r="A36" s="636" t="s">
        <v>516</v>
      </c>
      <c r="B36" s="697"/>
      <c r="C36" s="697"/>
      <c r="D36" s="697"/>
      <c r="E36" s="697">
        <v>0</v>
      </c>
      <c r="F36" s="697"/>
      <c r="G36" s="697">
        <v>0</v>
      </c>
      <c r="H36" s="697"/>
      <c r="I36" s="868" t="e">
        <f t="shared" ref="I36:I38" si="77">H36/G36</f>
        <v>#DIV/0!</v>
      </c>
      <c r="J36" s="697"/>
      <c r="K36" s="697"/>
      <c r="L36" s="697"/>
      <c r="M36" s="697"/>
      <c r="N36" s="780"/>
    </row>
    <row r="37" spans="1:65" hidden="1" x14ac:dyDescent="0.35">
      <c r="A37" s="636" t="s">
        <v>517</v>
      </c>
      <c r="B37" s="697"/>
      <c r="C37" s="697"/>
      <c r="D37" s="697"/>
      <c r="E37" s="697">
        <v>0</v>
      </c>
      <c r="F37" s="697"/>
      <c r="G37" s="697">
        <v>0</v>
      </c>
      <c r="H37" s="697"/>
      <c r="I37" s="868" t="e">
        <f t="shared" si="77"/>
        <v>#DIV/0!</v>
      </c>
      <c r="J37" s="697"/>
      <c r="K37" s="697"/>
      <c r="L37" s="697"/>
      <c r="M37" s="697"/>
      <c r="N37" s="780"/>
    </row>
    <row r="38" spans="1:65" hidden="1" x14ac:dyDescent="0.35">
      <c r="A38" s="636" t="s">
        <v>518</v>
      </c>
      <c r="B38" s="697"/>
      <c r="C38" s="697"/>
      <c r="D38" s="697"/>
      <c r="E38" s="697">
        <v>0</v>
      </c>
      <c r="F38" s="697"/>
      <c r="G38" s="697">
        <v>0</v>
      </c>
      <c r="H38" s="697"/>
      <c r="I38" s="868" t="e">
        <f t="shared" si="77"/>
        <v>#DIV/0!</v>
      </c>
      <c r="J38" s="697"/>
      <c r="K38" s="697"/>
      <c r="L38" s="697"/>
      <c r="M38" s="697"/>
      <c r="N38" s="780"/>
    </row>
    <row r="39" spans="1:65" s="867" customFormat="1" x14ac:dyDescent="0.35">
      <c r="A39" s="865" t="s">
        <v>384</v>
      </c>
      <c r="B39" s="657">
        <f>B40+B49</f>
        <v>3312020.62</v>
      </c>
      <c r="C39" s="657">
        <f t="shared" ref="C39:J39" si="78">C40+C49</f>
        <v>37888350.950000003</v>
      </c>
      <c r="D39" s="657">
        <f t="shared" si="78"/>
        <v>78787426.010000005</v>
      </c>
      <c r="E39" s="657">
        <f t="shared" si="78"/>
        <v>256363385.62</v>
      </c>
      <c r="F39" s="657">
        <f t="shared" si="78"/>
        <v>35480610.899999999</v>
      </c>
      <c r="G39" s="657">
        <f t="shared" si="78"/>
        <v>222974235.81</v>
      </c>
      <c r="H39" s="657">
        <f t="shared" si="78"/>
        <v>25106322.550000001</v>
      </c>
      <c r="I39" s="866">
        <f>H39/G39</f>
        <v>0.11259741493808061</v>
      </c>
      <c r="J39" s="657">
        <f t="shared" si="78"/>
        <v>3084782.8099999996</v>
      </c>
      <c r="K39" s="657">
        <f t="shared" ref="K39" si="79">K40+K49</f>
        <v>584.58000000000004</v>
      </c>
      <c r="L39" s="657">
        <f t="shared" ref="L39" si="80">L40+L49</f>
        <v>203.17</v>
      </c>
      <c r="M39" s="657">
        <f t="shared" ref="M39" si="81">M40+M49</f>
        <v>972.73</v>
      </c>
      <c r="N39" s="657">
        <f t="shared" ref="N39" si="82">N40+N49</f>
        <v>15154.52</v>
      </c>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7"/>
      <c r="BB39" s="617"/>
      <c r="BC39" s="617"/>
      <c r="BD39" s="617"/>
      <c r="BE39" s="617"/>
      <c r="BF39" s="617"/>
      <c r="BG39" s="617"/>
      <c r="BH39" s="617"/>
      <c r="BI39" s="617"/>
      <c r="BJ39" s="617"/>
      <c r="BK39" s="617"/>
      <c r="BL39" s="617"/>
      <c r="BM39" s="617"/>
    </row>
    <row r="40" spans="1:65" x14ac:dyDescent="0.35">
      <c r="A40" s="636" t="s">
        <v>385</v>
      </c>
      <c r="B40" s="697">
        <f>'GHG and Energy Use Dec'!Q40</f>
        <v>0</v>
      </c>
      <c r="C40" s="697">
        <f>'GHG and Energy Use Dec'!R40</f>
        <v>0</v>
      </c>
      <c r="D40" s="697">
        <f>'GHG and Energy Use Dec'!S40</f>
        <v>0</v>
      </c>
      <c r="E40" s="697">
        <v>0</v>
      </c>
      <c r="F40" s="697">
        <v>0</v>
      </c>
      <c r="G40" s="697">
        <f>F40+E40</f>
        <v>0</v>
      </c>
      <c r="H40" s="697">
        <v>0</v>
      </c>
      <c r="I40" s="868" t="s">
        <v>505</v>
      </c>
      <c r="J40" s="697">
        <v>0</v>
      </c>
      <c r="K40" s="697">
        <v>0</v>
      </c>
      <c r="L40" s="697">
        <v>0</v>
      </c>
      <c r="M40" s="697">
        <v>0</v>
      </c>
      <c r="N40" s="780">
        <v>0</v>
      </c>
    </row>
    <row r="41" spans="1:65" hidden="1" x14ac:dyDescent="0.35">
      <c r="A41" s="636" t="s">
        <v>373</v>
      </c>
      <c r="B41" s="697">
        <v>0</v>
      </c>
      <c r="C41" s="697">
        <v>0</v>
      </c>
      <c r="D41" s="697">
        <v>0</v>
      </c>
      <c r="E41" s="697">
        <v>0</v>
      </c>
      <c r="F41" s="697">
        <v>0</v>
      </c>
      <c r="G41" s="697">
        <v>0</v>
      </c>
      <c r="H41" s="697">
        <v>0</v>
      </c>
      <c r="I41" s="868" t="s">
        <v>505</v>
      </c>
      <c r="J41" s="697">
        <v>0</v>
      </c>
      <c r="K41" s="697"/>
      <c r="L41" s="697"/>
      <c r="M41" s="697"/>
      <c r="N41" s="780"/>
    </row>
    <row r="42" spans="1:65" hidden="1" x14ac:dyDescent="0.35">
      <c r="A42" s="636" t="s">
        <v>525</v>
      </c>
      <c r="B42" s="697"/>
      <c r="C42" s="697"/>
      <c r="D42" s="697"/>
      <c r="E42" s="697">
        <v>0</v>
      </c>
      <c r="F42" s="697"/>
      <c r="G42" s="697">
        <v>0</v>
      </c>
      <c r="H42" s="697"/>
      <c r="I42" s="870"/>
      <c r="J42" s="697"/>
      <c r="K42" s="697"/>
      <c r="L42" s="697"/>
      <c r="M42" s="697"/>
      <c r="N42" s="780"/>
    </row>
    <row r="43" spans="1:65" hidden="1" x14ac:dyDescent="0.35">
      <c r="A43" s="636" t="s">
        <v>526</v>
      </c>
      <c r="B43" s="697"/>
      <c r="C43" s="697"/>
      <c r="D43" s="697"/>
      <c r="E43" s="697">
        <v>0</v>
      </c>
      <c r="F43" s="697"/>
      <c r="G43" s="697">
        <v>0</v>
      </c>
      <c r="H43" s="697"/>
      <c r="I43" s="870"/>
      <c r="J43" s="697"/>
      <c r="K43" s="697"/>
      <c r="L43" s="697"/>
      <c r="M43" s="697"/>
      <c r="N43" s="780"/>
    </row>
    <row r="44" spans="1:65" hidden="1" x14ac:dyDescent="0.35">
      <c r="A44" s="636" t="s">
        <v>527</v>
      </c>
      <c r="B44" s="697"/>
      <c r="C44" s="697"/>
      <c r="D44" s="697"/>
      <c r="E44" s="697">
        <v>0</v>
      </c>
      <c r="F44" s="697"/>
      <c r="G44" s="697">
        <v>0</v>
      </c>
      <c r="H44" s="697"/>
      <c r="I44" s="870"/>
      <c r="J44" s="697"/>
      <c r="K44" s="697"/>
      <c r="L44" s="697"/>
      <c r="M44" s="697"/>
      <c r="N44" s="780"/>
    </row>
    <row r="45" spans="1:65" hidden="1" x14ac:dyDescent="0.35">
      <c r="A45" s="636" t="s">
        <v>528</v>
      </c>
      <c r="B45" s="697"/>
      <c r="C45" s="697"/>
      <c r="D45" s="697"/>
      <c r="E45" s="697">
        <v>0</v>
      </c>
      <c r="F45" s="697"/>
      <c r="G45" s="697">
        <v>0</v>
      </c>
      <c r="H45" s="697"/>
      <c r="I45" s="870"/>
      <c r="J45" s="697"/>
      <c r="K45" s="697"/>
      <c r="L45" s="697"/>
      <c r="M45" s="697"/>
      <c r="N45" s="780"/>
    </row>
    <row r="46" spans="1:65" hidden="1" x14ac:dyDescent="0.35">
      <c r="A46" s="636" t="s">
        <v>529</v>
      </c>
      <c r="B46" s="697"/>
      <c r="C46" s="697"/>
      <c r="D46" s="697"/>
      <c r="E46" s="697">
        <v>0</v>
      </c>
      <c r="F46" s="697"/>
      <c r="G46" s="697">
        <v>0</v>
      </c>
      <c r="H46" s="697"/>
      <c r="I46" s="870"/>
      <c r="J46" s="697"/>
      <c r="K46" s="697"/>
      <c r="L46" s="697"/>
      <c r="M46" s="697"/>
      <c r="N46" s="780"/>
    </row>
    <row r="47" spans="1:65" hidden="1" x14ac:dyDescent="0.35">
      <c r="A47" s="636" t="s">
        <v>530</v>
      </c>
      <c r="B47" s="697"/>
      <c r="C47" s="697"/>
      <c r="D47" s="697"/>
      <c r="E47" s="697">
        <v>0</v>
      </c>
      <c r="F47" s="697"/>
      <c r="G47" s="697">
        <v>0</v>
      </c>
      <c r="H47" s="697"/>
      <c r="I47" s="870"/>
      <c r="J47" s="697"/>
      <c r="K47" s="697"/>
      <c r="L47" s="697"/>
      <c r="M47" s="697"/>
      <c r="N47" s="780"/>
    </row>
    <row r="48" spans="1:65" hidden="1" x14ac:dyDescent="0.35">
      <c r="A48" s="636" t="s">
        <v>531</v>
      </c>
      <c r="B48" s="697"/>
      <c r="C48" s="697"/>
      <c r="D48" s="697"/>
      <c r="E48" s="697">
        <v>0</v>
      </c>
      <c r="F48" s="697"/>
      <c r="G48" s="697">
        <v>0</v>
      </c>
      <c r="H48" s="697"/>
      <c r="I48" s="870"/>
      <c r="J48" s="697"/>
      <c r="K48" s="697"/>
      <c r="L48" s="697"/>
      <c r="M48" s="697"/>
      <c r="N48" s="780"/>
    </row>
    <row r="49" spans="1:65" s="874" customFormat="1" x14ac:dyDescent="0.35">
      <c r="A49" s="871" t="s">
        <v>386</v>
      </c>
      <c r="B49" s="872">
        <f>SUM(B50:B57)</f>
        <v>3312020.62</v>
      </c>
      <c r="C49" s="872">
        <f t="shared" ref="C49:J49" si="83">SUM(C50:C57)</f>
        <v>37888350.950000003</v>
      </c>
      <c r="D49" s="872">
        <f t="shared" si="83"/>
        <v>78787426.010000005</v>
      </c>
      <c r="E49" s="872">
        <f t="shared" si="83"/>
        <v>256363385.62</v>
      </c>
      <c r="F49" s="872">
        <f t="shared" si="83"/>
        <v>35480610.899999999</v>
      </c>
      <c r="G49" s="872">
        <f t="shared" si="83"/>
        <v>222974235.81</v>
      </c>
      <c r="H49" s="872">
        <f t="shared" si="83"/>
        <v>25106322.550000001</v>
      </c>
      <c r="I49" s="873">
        <f>H49/G49</f>
        <v>0.11259741493808061</v>
      </c>
      <c r="J49" s="872">
        <f t="shared" si="83"/>
        <v>3084782.8099999996</v>
      </c>
      <c r="K49" s="872">
        <f t="shared" ref="K49" si="84">SUM(K50:K57)</f>
        <v>584.58000000000004</v>
      </c>
      <c r="L49" s="872">
        <f t="shared" ref="L49" si="85">SUM(L50:L57)</f>
        <v>203.17</v>
      </c>
      <c r="M49" s="872">
        <f t="shared" ref="M49" si="86">SUM(M50:M57)</f>
        <v>972.73</v>
      </c>
      <c r="N49" s="872">
        <f t="shared" ref="N49" si="87">SUM(N50:N57)</f>
        <v>15154.52</v>
      </c>
      <c r="O49" s="617"/>
      <c r="P49" s="617"/>
      <c r="Q49" s="617"/>
      <c r="R49" s="617"/>
      <c r="S49" s="617"/>
      <c r="T49" s="617"/>
      <c r="U49" s="617"/>
      <c r="V49" s="617"/>
      <c r="W49" s="617"/>
      <c r="X49" s="617"/>
      <c r="Y49" s="61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7"/>
      <c r="AY49" s="617"/>
      <c r="AZ49" s="617"/>
      <c r="BA49" s="617"/>
      <c r="BB49" s="617"/>
      <c r="BC49" s="617"/>
      <c r="BD49" s="617"/>
      <c r="BE49" s="617"/>
      <c r="BF49" s="617"/>
      <c r="BG49" s="617"/>
      <c r="BH49" s="617"/>
      <c r="BI49" s="617"/>
      <c r="BJ49" s="617"/>
      <c r="BK49" s="617"/>
      <c r="BL49" s="617"/>
      <c r="BM49" s="617"/>
    </row>
    <row r="50" spans="1:65" x14ac:dyDescent="0.35">
      <c r="A50" s="636" t="s">
        <v>532</v>
      </c>
      <c r="B50" s="697">
        <f>'GHG and Energy Use Dec'!Q50</f>
        <v>1498547</v>
      </c>
      <c r="C50" s="697">
        <f>'GHG and Energy Use Dec'!R50</f>
        <v>0</v>
      </c>
      <c r="D50" s="697">
        <f>'GHG and Energy Use Dec'!S50</f>
        <v>24007570</v>
      </c>
      <c r="E50" s="697">
        <v>108000397</v>
      </c>
      <c r="F50" s="697">
        <v>12285121.82</v>
      </c>
      <c r="G50" s="697">
        <v>72500042.659999996</v>
      </c>
      <c r="H50" s="697">
        <v>25106322.550000001</v>
      </c>
      <c r="I50" s="868">
        <f>H50/G50</f>
        <v>0.34629390037382363</v>
      </c>
      <c r="J50" s="697">
        <v>3073651.03</v>
      </c>
      <c r="K50" s="697">
        <v>384.59</v>
      </c>
      <c r="L50" s="697">
        <v>201.85</v>
      </c>
      <c r="M50" s="697">
        <v>16.54</v>
      </c>
      <c r="N50" s="780">
        <v>7517.44</v>
      </c>
    </row>
    <row r="51" spans="1:65" x14ac:dyDescent="0.35">
      <c r="A51" s="636" t="s">
        <v>389</v>
      </c>
      <c r="B51" s="697">
        <f>'GHG and Energy Use Dec'!Q52</f>
        <v>830086.87</v>
      </c>
      <c r="C51" s="697">
        <f>'GHG and Energy Use Dec'!R52</f>
        <v>0</v>
      </c>
      <c r="D51" s="697">
        <f>'GHG and Energy Use Dec'!S52</f>
        <v>27760620.170000002</v>
      </c>
      <c r="E51" s="697">
        <v>95276922.430000007</v>
      </c>
      <c r="F51" s="697">
        <v>4186260.88</v>
      </c>
      <c r="G51" s="697">
        <v>90013151.129999995</v>
      </c>
      <c r="H51" s="697">
        <v>0</v>
      </c>
      <c r="I51" s="868">
        <f>H51/G51</f>
        <v>0</v>
      </c>
      <c r="J51" s="697">
        <v>4176.07</v>
      </c>
      <c r="K51" s="697">
        <v>21.42</v>
      </c>
      <c r="L51" s="697">
        <v>0.35</v>
      </c>
      <c r="M51" s="697">
        <v>46.72</v>
      </c>
      <c r="N51" s="780">
        <v>2205.1</v>
      </c>
    </row>
    <row r="52" spans="1:65" x14ac:dyDescent="0.35">
      <c r="A52" s="636" t="s">
        <v>390</v>
      </c>
      <c r="B52" s="697">
        <f>'GHG and Energy Use Dec'!Q53</f>
        <v>6281</v>
      </c>
      <c r="C52" s="697">
        <f>'GHG and Energy Use Dec'!R53</f>
        <v>0</v>
      </c>
      <c r="D52" s="697">
        <f>'GHG and Energy Use Dec'!S53</f>
        <v>0</v>
      </c>
      <c r="E52" s="697">
        <v>0</v>
      </c>
      <c r="F52" s="697">
        <v>0</v>
      </c>
      <c r="G52" s="697">
        <f t="shared" ref="G52:G57" si="88">F52+E52</f>
        <v>0</v>
      </c>
      <c r="H52" s="697">
        <v>0</v>
      </c>
      <c r="I52" s="868" t="s">
        <v>505</v>
      </c>
      <c r="J52" s="697">
        <v>566.58000000000004</v>
      </c>
      <c r="K52" s="697">
        <v>4</v>
      </c>
      <c r="L52" s="697">
        <v>0</v>
      </c>
      <c r="M52" s="697">
        <v>0</v>
      </c>
      <c r="N52" s="780">
        <v>0</v>
      </c>
    </row>
    <row r="53" spans="1:65" x14ac:dyDescent="0.35">
      <c r="A53" s="636" t="s">
        <v>391</v>
      </c>
      <c r="B53" s="697">
        <f>'GHG and Energy Use Dec'!Q54</f>
        <v>260926</v>
      </c>
      <c r="C53" s="697">
        <f>'GHG and Energy Use Dec'!R54</f>
        <v>0</v>
      </c>
      <c r="D53" s="697">
        <f>'GHG and Energy Use Dec'!S54</f>
        <v>4563352</v>
      </c>
      <c r="E53" s="697">
        <v>16842884</v>
      </c>
      <c r="F53" s="697">
        <v>0</v>
      </c>
      <c r="G53" s="697">
        <v>6146785.3499999996</v>
      </c>
      <c r="H53" s="697">
        <v>0</v>
      </c>
      <c r="I53" s="868">
        <f>H53/G53</f>
        <v>0</v>
      </c>
      <c r="J53" s="697">
        <v>221.13</v>
      </c>
      <c r="K53" s="697">
        <v>0.16</v>
      </c>
      <c r="L53" s="697">
        <v>0</v>
      </c>
      <c r="M53" s="697">
        <v>888.8</v>
      </c>
      <c r="N53" s="780">
        <v>518.24</v>
      </c>
    </row>
    <row r="54" spans="1:65" x14ac:dyDescent="0.35">
      <c r="A54" s="636" t="s">
        <v>392</v>
      </c>
      <c r="B54" s="697">
        <f>'GHG and Energy Use Dec'!Q55</f>
        <v>173056</v>
      </c>
      <c r="C54" s="697">
        <f>'GHG and Energy Use Dec'!R55</f>
        <v>37888350.950000003</v>
      </c>
      <c r="D54" s="697">
        <f>'GHG and Energy Use Dec'!S55</f>
        <v>16287643.17</v>
      </c>
      <c r="E54" s="697">
        <v>27589521.539999999</v>
      </c>
      <c r="F54" s="697">
        <v>10665950.27</v>
      </c>
      <c r="G54" s="697">
        <v>38255474.810000002</v>
      </c>
      <c r="H54" s="697">
        <v>0</v>
      </c>
      <c r="I54" s="868">
        <f t="shared" ref="I54:I55" si="89">H54/G54</f>
        <v>0</v>
      </c>
      <c r="J54" s="697">
        <v>3212.72</v>
      </c>
      <c r="K54" s="697">
        <v>7.73</v>
      </c>
      <c r="L54" s="697">
        <v>0</v>
      </c>
      <c r="M54" s="697">
        <v>8.69</v>
      </c>
      <c r="N54" s="780">
        <v>3193.11</v>
      </c>
    </row>
    <row r="55" spans="1:65" x14ac:dyDescent="0.35">
      <c r="A55" s="637" t="s">
        <v>717</v>
      </c>
      <c r="B55" s="697">
        <f>'GHG and Energy Use Dec'!Q57</f>
        <v>543123.75</v>
      </c>
      <c r="C55" s="697">
        <f>'GHG and Energy Use Dec'!R57</f>
        <v>0</v>
      </c>
      <c r="D55" s="697">
        <f>'GHG and Energy Use Dec'!S57</f>
        <v>6168240.6699999999</v>
      </c>
      <c r="E55" s="697">
        <v>8653660.6500000004</v>
      </c>
      <c r="F55" s="697">
        <v>8343277.9299999997</v>
      </c>
      <c r="G55" s="697">
        <v>16058781.859999999</v>
      </c>
      <c r="H55" s="697">
        <v>0</v>
      </c>
      <c r="I55" s="868">
        <f t="shared" si="89"/>
        <v>0</v>
      </c>
      <c r="J55" s="697">
        <v>2955.28</v>
      </c>
      <c r="K55" s="697">
        <v>166.68</v>
      </c>
      <c r="L55" s="697">
        <v>0.97</v>
      </c>
      <c r="M55" s="697">
        <v>11.98</v>
      </c>
      <c r="N55" s="697">
        <v>1720.63</v>
      </c>
    </row>
    <row r="56" spans="1:65" x14ac:dyDescent="0.35">
      <c r="A56" s="637" t="s">
        <v>395</v>
      </c>
      <c r="B56" s="689">
        <v>0</v>
      </c>
      <c r="C56" s="689">
        <v>0</v>
      </c>
      <c r="D56" s="689">
        <v>0</v>
      </c>
      <c r="E56" s="689">
        <v>0</v>
      </c>
      <c r="F56" s="689">
        <v>0</v>
      </c>
      <c r="G56" s="697">
        <f t="shared" si="88"/>
        <v>0</v>
      </c>
      <c r="H56" s="689">
        <v>0</v>
      </c>
      <c r="I56" s="868" t="s">
        <v>505</v>
      </c>
      <c r="J56" s="689">
        <v>0</v>
      </c>
      <c r="K56" s="689">
        <v>0</v>
      </c>
      <c r="L56" s="689">
        <v>0</v>
      </c>
      <c r="M56" s="689">
        <v>0</v>
      </c>
      <c r="N56" s="689">
        <v>0</v>
      </c>
    </row>
    <row r="57" spans="1:65" x14ac:dyDescent="0.35">
      <c r="A57" s="637" t="s">
        <v>396</v>
      </c>
      <c r="B57" s="689">
        <v>0</v>
      </c>
      <c r="C57" s="689">
        <v>0</v>
      </c>
      <c r="D57" s="689">
        <v>0</v>
      </c>
      <c r="E57" s="689">
        <v>0</v>
      </c>
      <c r="F57" s="689">
        <v>0</v>
      </c>
      <c r="G57" s="697">
        <f t="shared" si="88"/>
        <v>0</v>
      </c>
      <c r="H57" s="689">
        <v>0</v>
      </c>
      <c r="I57" s="868" t="s">
        <v>505</v>
      </c>
      <c r="J57" s="689">
        <v>0</v>
      </c>
      <c r="K57" s="689">
        <v>0</v>
      </c>
      <c r="L57" s="689">
        <v>0</v>
      </c>
      <c r="M57" s="689">
        <v>0</v>
      </c>
      <c r="N57" s="689">
        <v>0</v>
      </c>
    </row>
    <row r="61" spans="1:65" hidden="1" x14ac:dyDescent="0.35">
      <c r="G61" s="617" t="s">
        <v>692</v>
      </c>
      <c r="H61" s="875">
        <v>1378571.5390000001</v>
      </c>
    </row>
    <row r="62" spans="1:65" hidden="1" x14ac:dyDescent="0.35">
      <c r="G62" s="617" t="s">
        <v>693</v>
      </c>
      <c r="H62" s="875">
        <v>5016731.6122000003</v>
      </c>
    </row>
    <row r="63" spans="1:65" hidden="1" x14ac:dyDescent="0.35">
      <c r="G63" s="617" t="s">
        <v>389</v>
      </c>
      <c r="H63" s="617">
        <v>0</v>
      </c>
    </row>
    <row r="64" spans="1:65" hidden="1" x14ac:dyDescent="0.35">
      <c r="G64" s="617" t="s">
        <v>694</v>
      </c>
      <c r="H64" s="617">
        <v>0</v>
      </c>
    </row>
    <row r="65" spans="7:8" hidden="1" x14ac:dyDescent="0.35">
      <c r="G65" s="617" t="s">
        <v>695</v>
      </c>
      <c r="H65" s="876">
        <v>13407684</v>
      </c>
    </row>
    <row r="66" spans="7:8" hidden="1" x14ac:dyDescent="0.35">
      <c r="G66" s="617" t="s">
        <v>391</v>
      </c>
      <c r="H66" s="617">
        <v>0</v>
      </c>
    </row>
  </sheetData>
  <sheetProtection sheet="1" objects="1" scenario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0BACB-5E55-4645-9732-05EE8786032E}">
  <sheetPr codeName="Sheet3"/>
  <dimension ref="B1:BE2"/>
  <sheetViews>
    <sheetView zoomScale="70" zoomScaleNormal="70" workbookViewId="0">
      <selection activeCell="A7" sqref="A7"/>
    </sheetView>
  </sheetViews>
  <sheetFormatPr defaultRowHeight="14.5" outlineLevelCol="2" x14ac:dyDescent="0.35"/>
  <cols>
    <col min="1" max="1" width="45" customWidth="1"/>
    <col min="4" max="4" width="0" hidden="1" customWidth="1" outlineLevel="1"/>
    <col min="5" max="6" width="0" hidden="1" customWidth="1" outlineLevel="2"/>
    <col min="7" max="7" width="0" hidden="1" customWidth="1" outlineLevel="1" collapsed="1"/>
    <col min="8" max="8" width="0" hidden="1" customWidth="1" outlineLevel="2"/>
    <col min="9" max="9" width="0" hidden="1" customWidth="1" outlineLevel="1" collapsed="1"/>
    <col min="10" max="10" width="0" hidden="1" customWidth="1" outlineLevel="2"/>
    <col min="11" max="11" width="0" hidden="1" customWidth="1" outlineLevel="1" collapsed="1"/>
    <col min="12" max="12" width="0" hidden="1" customWidth="1" outlineLevel="2"/>
    <col min="13" max="13" width="10.81640625" hidden="1" customWidth="1" outlineLevel="1" collapsed="1"/>
    <col min="14" max="14" width="12.453125" hidden="1" customWidth="1" outlineLevel="2"/>
    <col min="15" max="16" width="0" hidden="1" customWidth="1" outlineLevel="2"/>
    <col min="17" max="17" width="0" hidden="1" customWidth="1" outlineLevel="1" collapsed="1"/>
    <col min="18" max="18" width="11.453125" hidden="1" customWidth="1" outlineLevel="1"/>
    <col min="19" max="19" width="9.1796875" collapsed="1"/>
    <col min="20" max="20" width="10.54296875" hidden="1" customWidth="1" outlineLevel="1"/>
    <col min="21" max="21" width="11.453125" hidden="1" customWidth="1" outlineLevel="2"/>
    <col min="22" max="22" width="0" hidden="1" customWidth="1" outlineLevel="2"/>
    <col min="23" max="23" width="0" hidden="1" customWidth="1" outlineLevel="1" collapsed="1"/>
    <col min="24" max="25" width="0" hidden="1" customWidth="1" outlineLevel="2"/>
    <col min="26" max="26" width="10.54296875" hidden="1" customWidth="1" outlineLevel="1" collapsed="1"/>
    <col min="27" max="27" width="0" hidden="1" customWidth="1" outlineLevel="2"/>
    <col min="28" max="28" width="0" hidden="1" customWidth="1" outlineLevel="1" collapsed="1"/>
    <col min="29" max="30" width="0" hidden="1" customWidth="1" outlineLevel="2"/>
    <col min="31" max="31" width="0" hidden="1" customWidth="1" outlineLevel="1" collapsed="1"/>
    <col min="32" max="32" width="0" hidden="1" customWidth="1" outlineLevel="1"/>
    <col min="33" max="33" width="9.1796875" collapsed="1"/>
    <col min="34" max="34" width="9.1796875" hidden="1" customWidth="1" outlineLevel="1"/>
    <col min="35" max="36" width="0" hidden="1" customWidth="1" outlineLevel="2"/>
    <col min="37" max="39" width="9.1796875" hidden="1" customWidth="1" outlineLevel="2"/>
    <col min="40" max="40" width="9.1796875" hidden="1" customWidth="1" outlineLevel="1" collapsed="1"/>
    <col min="41" max="42" width="9.1796875" hidden="1" customWidth="1" outlineLevel="1"/>
    <col min="43" max="49" width="9.1796875" hidden="1" customWidth="1" outlineLevel="2"/>
    <col min="50" max="50" width="9.1796875" hidden="1" customWidth="1" outlineLevel="1" collapsed="1"/>
    <col min="51" max="56" width="9.1796875" hidden="1" customWidth="1" outlineLevel="2"/>
    <col min="57" max="57" width="9.1796875" collapsed="1"/>
  </cols>
  <sheetData>
    <row r="1" spans="2:56" s="1" customFormat="1" ht="45" customHeight="1" x14ac:dyDescent="0.35">
      <c r="B1" s="4" t="s">
        <v>348</v>
      </c>
      <c r="C1" s="3" t="s">
        <v>349</v>
      </c>
      <c r="D1" s="2" t="s">
        <v>351</v>
      </c>
      <c r="E1" s="1" t="s">
        <v>352</v>
      </c>
      <c r="F1" s="1" t="s">
        <v>353</v>
      </c>
      <c r="G1" s="2" t="s">
        <v>354</v>
      </c>
      <c r="H1" s="1" t="s">
        <v>355</v>
      </c>
      <c r="I1" s="2" t="s">
        <v>572</v>
      </c>
      <c r="J1" s="1" t="s">
        <v>357</v>
      </c>
      <c r="K1" s="2" t="s">
        <v>358</v>
      </c>
      <c r="L1" s="1" t="s">
        <v>359</v>
      </c>
      <c r="M1" s="2" t="s">
        <v>360</v>
      </c>
      <c r="N1" s="1" t="s">
        <v>361</v>
      </c>
      <c r="O1" s="1" t="s">
        <v>362</v>
      </c>
      <c r="P1" s="1" t="s">
        <v>363</v>
      </c>
      <c r="Q1" s="2" t="s">
        <v>364</v>
      </c>
      <c r="R1" s="1" t="s">
        <v>365</v>
      </c>
      <c r="S1" s="3" t="s">
        <v>366</v>
      </c>
      <c r="T1" s="2" t="s">
        <v>367</v>
      </c>
      <c r="U1" s="1" t="s">
        <v>368</v>
      </c>
      <c r="V1" s="1" t="s">
        <v>369</v>
      </c>
      <c r="W1" s="2" t="s">
        <v>371</v>
      </c>
      <c r="X1" s="1" t="s">
        <v>372</v>
      </c>
      <c r="Y1" s="1" t="s">
        <v>373</v>
      </c>
      <c r="Z1" s="2" t="s">
        <v>374</v>
      </c>
      <c r="AA1" s="1" t="s">
        <v>375</v>
      </c>
      <c r="AB1" s="2" t="s">
        <v>376</v>
      </c>
      <c r="AC1" s="1" t="s">
        <v>377</v>
      </c>
      <c r="AD1" s="1" t="s">
        <v>378</v>
      </c>
      <c r="AE1" s="2" t="s">
        <v>379</v>
      </c>
      <c r="AF1" s="1" t="s">
        <v>380</v>
      </c>
      <c r="AG1" s="3" t="s">
        <v>381</v>
      </c>
      <c r="AH1" s="2" t="s">
        <v>382</v>
      </c>
      <c r="AI1" s="1" t="s">
        <v>383</v>
      </c>
      <c r="AJ1" s="1" t="s">
        <v>373</v>
      </c>
      <c r="AK1" s="1" t="s">
        <v>516</v>
      </c>
      <c r="AL1" s="1" t="s">
        <v>517</v>
      </c>
      <c r="AM1" s="1" t="s">
        <v>518</v>
      </c>
      <c r="AN1" s="2" t="s">
        <v>384</v>
      </c>
      <c r="AO1" s="1" t="s">
        <v>385</v>
      </c>
      <c r="AP1" s="1" t="s">
        <v>373</v>
      </c>
      <c r="AQ1" s="1" t="s">
        <v>525</v>
      </c>
      <c r="AR1" s="1" t="s">
        <v>526</v>
      </c>
      <c r="AS1" s="1" t="s">
        <v>527</v>
      </c>
      <c r="AT1" s="1" t="s">
        <v>528</v>
      </c>
      <c r="AU1" s="1" t="s">
        <v>529</v>
      </c>
      <c r="AV1" s="1" t="s">
        <v>530</v>
      </c>
      <c r="AW1" s="1" t="s">
        <v>531</v>
      </c>
      <c r="AX1" s="1" t="s">
        <v>386</v>
      </c>
      <c r="AY1" s="1" t="s">
        <v>574</v>
      </c>
      <c r="AZ1" s="1" t="s">
        <v>389</v>
      </c>
      <c r="BA1" s="1" t="s">
        <v>391</v>
      </c>
      <c r="BB1" s="1" t="s">
        <v>390</v>
      </c>
      <c r="BC1" s="1" t="s">
        <v>392</v>
      </c>
      <c r="BD1" s="1" t="s">
        <v>633</v>
      </c>
    </row>
    <row r="2" spans="2:56" x14ac:dyDescent="0.35">
      <c r="B2">
        <f>C2+S2+AG2</f>
        <v>0</v>
      </c>
      <c r="C2">
        <f>D2+G2+I2+K2+M2+Q2</f>
        <v>0</v>
      </c>
      <c r="D2">
        <f>SUM(E2:F2)</f>
        <v>0</v>
      </c>
      <c r="G2">
        <f>H2</f>
        <v>0</v>
      </c>
      <c r="I2">
        <f>J2</f>
        <v>0</v>
      </c>
      <c r="K2">
        <f>L2</f>
        <v>0</v>
      </c>
      <c r="M2">
        <f>SUM(N2:P2)</f>
        <v>0</v>
      </c>
      <c r="Q2">
        <f>R2</f>
        <v>0</v>
      </c>
      <c r="S2">
        <f>T2+W2+Z2+AB2+AE2</f>
        <v>0</v>
      </c>
      <c r="T2">
        <f>SUM(U2:V2)</f>
        <v>0</v>
      </c>
      <c r="W2">
        <f>SUM(X2:Y2)</f>
        <v>0</v>
      </c>
      <c r="Z2">
        <f>AA2</f>
        <v>0</v>
      </c>
      <c r="AB2">
        <f>SUM(AC2:AD2)</f>
        <v>0</v>
      </c>
      <c r="AE2">
        <f>AF2</f>
        <v>0</v>
      </c>
      <c r="AG2">
        <f>AH2+AN2</f>
        <v>0</v>
      </c>
      <c r="AH2">
        <f>AI2+AJ2</f>
        <v>0</v>
      </c>
      <c r="AJ2">
        <f>SUM(AK2:AM2)</f>
        <v>0</v>
      </c>
      <c r="AN2">
        <f>AO2+AP2+AX2</f>
        <v>0</v>
      </c>
      <c r="AP2">
        <f>SUM(AQ2:AW2)</f>
        <v>0</v>
      </c>
      <c r="AX2">
        <f>SUM(AY2:BD2)</f>
        <v>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F55B0-D46D-4F95-8150-126B5C2B6008}">
  <sheetPr codeName="Sheet6"/>
  <dimension ref="A1:BQ5"/>
  <sheetViews>
    <sheetView zoomScale="70" zoomScaleNormal="70" workbookViewId="0">
      <selection activeCell="AA4" sqref="AA4"/>
    </sheetView>
  </sheetViews>
  <sheetFormatPr defaultColWidth="9.1796875" defaultRowHeight="14.5" outlineLevelCol="2" x14ac:dyDescent="0.35"/>
  <cols>
    <col min="1" max="1" width="45" style="1" customWidth="1"/>
    <col min="2" max="2" width="11.81640625" customWidth="1"/>
    <col min="3" max="3" width="12" bestFit="1" customWidth="1"/>
    <col min="4" max="4" width="9.1796875" customWidth="1" outlineLevel="1"/>
    <col min="5" max="5" width="11" customWidth="1" outlineLevel="2"/>
    <col min="6" max="6" width="9.1796875" customWidth="1" outlineLevel="2"/>
    <col min="7" max="7" width="9.1796875" customWidth="1" outlineLevel="1"/>
    <col min="8" max="8" width="9.1796875" customWidth="1" outlineLevel="2"/>
    <col min="9" max="9" width="9.1796875" customWidth="1" outlineLevel="1"/>
    <col min="10" max="10" width="9.1796875" customWidth="1" outlineLevel="2"/>
    <col min="11" max="11" width="9.1796875" customWidth="1" outlineLevel="1"/>
    <col min="12" max="12" width="9.1796875" customWidth="1" outlineLevel="2"/>
    <col min="13" max="13" width="10.81640625" customWidth="1" outlineLevel="1"/>
    <col min="14" max="14" width="12.453125" customWidth="1" outlineLevel="2"/>
    <col min="15" max="16" width="9.1796875" customWidth="1" outlineLevel="2"/>
    <col min="17" max="17" width="9.1796875" customWidth="1" outlineLevel="1"/>
    <col min="18" max="18" width="11.453125" customWidth="1" outlineLevel="1"/>
    <col min="19" max="19" width="11.1796875" bestFit="1" customWidth="1"/>
    <col min="20" max="20" width="10.54296875" customWidth="1" outlineLevel="1"/>
    <col min="21" max="21" width="11.453125" customWidth="1" outlineLevel="2"/>
    <col min="22" max="22" width="9.1796875" customWidth="1" outlineLevel="2"/>
    <col min="23" max="23" width="9.1796875" customWidth="1" outlineLevel="1"/>
    <col min="24" max="25" width="9.1796875" customWidth="1" outlineLevel="2"/>
    <col min="26" max="26" width="10.54296875" customWidth="1" outlineLevel="1"/>
    <col min="27" max="27" width="9.1796875" customWidth="1" outlineLevel="2"/>
    <col min="28" max="28" width="9.1796875" customWidth="1" outlineLevel="1"/>
    <col min="29" max="29" width="11.54296875" customWidth="1" outlineLevel="2"/>
    <col min="30" max="30" width="9.1796875" customWidth="1" outlineLevel="2"/>
    <col min="31" max="32" width="9.1796875" customWidth="1" outlineLevel="1"/>
    <col min="33" max="33" width="15.453125" customWidth="1"/>
    <col min="34" max="34" width="13" customWidth="1" outlineLevel="1"/>
    <col min="35" max="36" width="9.1796875" customWidth="1" outlineLevel="2"/>
    <col min="37" max="39" width="9.1796875" hidden="1" customWidth="1" outlineLevel="2"/>
    <col min="40" max="42" width="9.1796875" customWidth="1" outlineLevel="1"/>
    <col min="43" max="49" width="9.1796875" hidden="1" customWidth="1" outlineLevel="2"/>
    <col min="50" max="50" width="9.1796875" customWidth="1" outlineLevel="1" collapsed="1"/>
    <col min="51" max="55" width="9.1796875" customWidth="1" outlineLevel="2"/>
    <col min="56" max="56" width="12.54296875" customWidth="1" outlineLevel="2"/>
    <col min="57" max="57" width="8.81640625"/>
    <col min="58" max="58" width="12.453125" hidden="1" customWidth="1"/>
    <col min="59" max="60" width="11.1796875" hidden="1" customWidth="1"/>
    <col min="61" max="61" width="0" hidden="1" customWidth="1"/>
    <col min="62" max="62" width="9.453125" hidden="1" customWidth="1"/>
    <col min="63" max="63" width="11.1796875" hidden="1" customWidth="1"/>
    <col min="64" max="65" width="9.453125" hidden="1" customWidth="1"/>
    <col min="66" max="69" width="10.54296875" hidden="1" customWidth="1"/>
  </cols>
  <sheetData>
    <row r="1" spans="1:69" s="1" customFormat="1" ht="45" customHeight="1" x14ac:dyDescent="0.35">
      <c r="B1" s="4" t="s">
        <v>348</v>
      </c>
      <c r="C1" s="3" t="s">
        <v>349</v>
      </c>
      <c r="D1" s="2" t="s">
        <v>351</v>
      </c>
      <c r="E1" s="1" t="s">
        <v>352</v>
      </c>
      <c r="F1" s="1" t="s">
        <v>353</v>
      </c>
      <c r="G1" s="2" t="s">
        <v>354</v>
      </c>
      <c r="H1" s="1" t="s">
        <v>355</v>
      </c>
      <c r="I1" s="2" t="s">
        <v>572</v>
      </c>
      <c r="J1" s="1" t="s">
        <v>357</v>
      </c>
      <c r="K1" s="2" t="s">
        <v>358</v>
      </c>
      <c r="L1" s="1" t="s">
        <v>359</v>
      </c>
      <c r="M1" s="2" t="s">
        <v>360</v>
      </c>
      <c r="N1" s="1" t="s">
        <v>361</v>
      </c>
      <c r="O1" s="1" t="s">
        <v>362</v>
      </c>
      <c r="P1" s="1" t="s">
        <v>363</v>
      </c>
      <c r="Q1" s="2" t="s">
        <v>364</v>
      </c>
      <c r="R1" s="1" t="s">
        <v>365</v>
      </c>
      <c r="S1" s="3" t="s">
        <v>366</v>
      </c>
      <c r="T1" s="2" t="s">
        <v>367</v>
      </c>
      <c r="U1" s="1" t="s">
        <v>368</v>
      </c>
      <c r="V1" s="1" t="s">
        <v>369</v>
      </c>
      <c r="W1" s="2" t="s">
        <v>371</v>
      </c>
      <c r="X1" s="1" t="s">
        <v>372</v>
      </c>
      <c r="Y1" s="1" t="s">
        <v>373</v>
      </c>
      <c r="Z1" s="2" t="s">
        <v>374</v>
      </c>
      <c r="AA1" s="1" t="s">
        <v>375</v>
      </c>
      <c r="AB1" s="2" t="s">
        <v>376</v>
      </c>
      <c r="AC1" s="1" t="s">
        <v>377</v>
      </c>
      <c r="AD1" s="1" t="s">
        <v>378</v>
      </c>
      <c r="AE1" s="2" t="s">
        <v>379</v>
      </c>
      <c r="AF1" s="1" t="s">
        <v>380</v>
      </c>
      <c r="AG1" s="3" t="s">
        <v>381</v>
      </c>
      <c r="AH1" s="2" t="s">
        <v>382</v>
      </c>
      <c r="AI1" s="1" t="s">
        <v>383</v>
      </c>
      <c r="AJ1" s="1" t="s">
        <v>373</v>
      </c>
      <c r="AK1" s="1" t="s">
        <v>516</v>
      </c>
      <c r="AL1" s="1" t="s">
        <v>517</v>
      </c>
      <c r="AM1" s="1" t="s">
        <v>518</v>
      </c>
      <c r="AN1" s="2" t="s">
        <v>384</v>
      </c>
      <c r="AO1" s="1" t="s">
        <v>385</v>
      </c>
      <c r="AP1" s="1" t="s">
        <v>373</v>
      </c>
      <c r="AQ1" s="1" t="s">
        <v>525</v>
      </c>
      <c r="AR1" s="1" t="s">
        <v>526</v>
      </c>
      <c r="AS1" s="1" t="s">
        <v>527</v>
      </c>
      <c r="AT1" s="1" t="s">
        <v>528</v>
      </c>
      <c r="AU1" s="1" t="s">
        <v>529</v>
      </c>
      <c r="AV1" s="1" t="s">
        <v>530</v>
      </c>
      <c r="AW1" s="1" t="s">
        <v>531</v>
      </c>
      <c r="AX1" s="1" t="s">
        <v>386</v>
      </c>
      <c r="AY1" s="1" t="s">
        <v>574</v>
      </c>
      <c r="AZ1" s="1" t="s">
        <v>389</v>
      </c>
      <c r="BA1" s="1" t="s">
        <v>391</v>
      </c>
      <c r="BB1" s="1" t="s">
        <v>390</v>
      </c>
      <c r="BC1" s="1" t="s">
        <v>392</v>
      </c>
      <c r="BD1" s="1" t="s">
        <v>633</v>
      </c>
      <c r="BF1" s="1" t="s">
        <v>696</v>
      </c>
      <c r="BG1" s="1" t="s">
        <v>697</v>
      </c>
      <c r="BH1" s="1" t="s">
        <v>698</v>
      </c>
      <c r="BI1" s="1" t="s">
        <v>694</v>
      </c>
      <c r="BJ1" s="1" t="s">
        <v>699</v>
      </c>
      <c r="BK1" s="1" t="s">
        <v>700</v>
      </c>
      <c r="BL1" s="1" t="s">
        <v>701</v>
      </c>
      <c r="BM1" s="1" t="s">
        <v>702</v>
      </c>
      <c r="BN1" s="1" t="s">
        <v>703</v>
      </c>
      <c r="BO1" s="1" t="s">
        <v>704</v>
      </c>
      <c r="BP1" s="1" t="s">
        <v>705</v>
      </c>
      <c r="BQ1" s="1" t="s">
        <v>706</v>
      </c>
    </row>
    <row r="2" spans="1:69" s="7" customFormat="1" ht="29" x14ac:dyDescent="0.35">
      <c r="A2" s="41" t="s">
        <v>707</v>
      </c>
      <c r="B2" s="7">
        <f>C2+S2+AG2</f>
        <v>54301.215672299993</v>
      </c>
      <c r="C2" s="7">
        <f>D2+G2+I2+K2+M2+Q2</f>
        <v>16672.554312299995</v>
      </c>
      <c r="D2" s="7">
        <f>SUM(E2:F2)</f>
        <v>2823.3269999999998</v>
      </c>
      <c r="E2" s="7">
        <v>2094.6469999999999</v>
      </c>
      <c r="F2" s="7">
        <v>728.68</v>
      </c>
      <c r="G2" s="7">
        <f>H2</f>
        <v>847.49599999999998</v>
      </c>
      <c r="H2" s="7">
        <v>847.49599999999998</v>
      </c>
      <c r="I2" s="7">
        <f>J2</f>
        <v>712.5</v>
      </c>
      <c r="J2" s="7">
        <v>712.5</v>
      </c>
      <c r="K2" s="7">
        <f>L2</f>
        <v>216.34899999999999</v>
      </c>
      <c r="L2" s="7">
        <v>216.34899999999999</v>
      </c>
      <c r="M2" s="7">
        <f>SUM(N2:P2)</f>
        <v>1293.5216122999968</v>
      </c>
      <c r="N2" s="7">
        <v>367.2</v>
      </c>
      <c r="O2" s="16"/>
      <c r="P2" s="7">
        <v>926.3216122999969</v>
      </c>
      <c r="Q2" s="7">
        <f>R2</f>
        <v>10779.360699999999</v>
      </c>
      <c r="R2" s="7">
        <v>10779.360699999999</v>
      </c>
      <c r="S2" s="7">
        <f>T2+W2+Z2+AB2+AE2</f>
        <v>7900.6504690000002</v>
      </c>
      <c r="T2" s="7">
        <f>SUM(U2:V2)</f>
        <v>3179.5</v>
      </c>
      <c r="U2" s="7">
        <v>1925.5</v>
      </c>
      <c r="V2" s="7">
        <v>1254</v>
      </c>
      <c r="W2" s="7">
        <f>SUM(X2:Y2)</f>
        <v>361.6</v>
      </c>
      <c r="X2" s="7">
        <v>351.6</v>
      </c>
      <c r="Y2" s="7">
        <v>10</v>
      </c>
      <c r="Z2" s="7">
        <f>AA2</f>
        <v>1261.9204690000001</v>
      </c>
      <c r="AA2" s="7">
        <v>1261.9204690000001</v>
      </c>
      <c r="AB2" s="7">
        <f>SUM(AC2:AD2)</f>
        <v>1535.23</v>
      </c>
      <c r="AC2" s="7">
        <v>828.19</v>
      </c>
      <c r="AD2" s="7">
        <v>707.04</v>
      </c>
      <c r="AE2" s="7">
        <f>AF2</f>
        <v>1562.4</v>
      </c>
      <c r="AF2" s="7">
        <v>1562.4</v>
      </c>
      <c r="AG2" s="7">
        <f>AH2+AN2</f>
        <v>29728.010890999998</v>
      </c>
      <c r="AH2" s="7">
        <f>AI2+AJ2</f>
        <v>925.08</v>
      </c>
      <c r="AI2" s="7">
        <v>835.1</v>
      </c>
      <c r="AJ2" s="7">
        <f>SUM(AK2:AM2)</f>
        <v>89.98</v>
      </c>
      <c r="AK2" s="7">
        <v>25.98</v>
      </c>
      <c r="AL2" s="7">
        <v>25</v>
      </c>
      <c r="AM2" s="7">
        <v>39</v>
      </c>
      <c r="AN2" s="7">
        <f>AO2+AP2+AX2</f>
        <v>28802.930890999996</v>
      </c>
      <c r="AO2" s="7">
        <v>892.74</v>
      </c>
      <c r="AP2" s="7">
        <f>SUM(AQ2:AW2)</f>
        <v>934.650891</v>
      </c>
      <c r="AR2" s="7">
        <v>30.650891000000001</v>
      </c>
      <c r="AS2" s="7">
        <v>439.08</v>
      </c>
      <c r="AT2" s="7">
        <v>166.3</v>
      </c>
      <c r="AU2" s="7">
        <v>232.12</v>
      </c>
      <c r="AV2" s="7">
        <v>51.8</v>
      </c>
      <c r="AW2" s="7">
        <v>14.7</v>
      </c>
      <c r="AX2" s="7">
        <f>SUM(AY2:BD2)</f>
        <v>26975.539999999997</v>
      </c>
      <c r="AY2" s="7">
        <f>BF2+BH2</f>
        <v>11508.720000000001</v>
      </c>
      <c r="AZ2" s="7">
        <v>5301.1</v>
      </c>
      <c r="BA2" s="7">
        <f>BM2</f>
        <v>713.1</v>
      </c>
      <c r="BB2" s="7">
        <f>BO2</f>
        <v>2919.06</v>
      </c>
      <c r="BC2" s="7">
        <f>BQ2</f>
        <v>2021.69</v>
      </c>
      <c r="BD2" s="20">
        <f>BI2+BK2</f>
        <v>4511.87</v>
      </c>
      <c r="BF2" s="7">
        <v>3984</v>
      </c>
      <c r="BG2" s="7">
        <v>7524.72</v>
      </c>
      <c r="BH2" s="7">
        <v>7524.72</v>
      </c>
      <c r="BI2" s="20">
        <v>826.87</v>
      </c>
      <c r="BJ2" s="7">
        <v>0</v>
      </c>
      <c r="BK2" s="7">
        <v>3685</v>
      </c>
      <c r="BL2" s="7">
        <v>713.1</v>
      </c>
      <c r="BM2" s="7">
        <v>713.1</v>
      </c>
      <c r="BN2" s="7">
        <v>2919.06</v>
      </c>
      <c r="BO2" s="7">
        <v>2919.06</v>
      </c>
      <c r="BP2" s="7">
        <v>2021.69</v>
      </c>
      <c r="BQ2" s="7">
        <v>2021.69</v>
      </c>
    </row>
    <row r="3" spans="1:69" s="7" customFormat="1" ht="29" x14ac:dyDescent="0.35">
      <c r="A3" s="41" t="s">
        <v>708</v>
      </c>
      <c r="B3" s="7">
        <f t="shared" ref="B3:B5" si="0">C3+S3+AG3</f>
        <v>1023.7073499999997</v>
      </c>
      <c r="C3" s="7">
        <f t="shared" ref="C3:C5" si="1">D3+G3+I3+K3+M3+Q3</f>
        <v>324.77299999999997</v>
      </c>
      <c r="D3" s="7">
        <f t="shared" ref="D3:D5" si="2">SUM(E3:F3)</f>
        <v>127.33</v>
      </c>
      <c r="E3" s="7">
        <v>104.03</v>
      </c>
      <c r="F3" s="7">
        <v>23.3</v>
      </c>
      <c r="G3" s="7">
        <f t="shared" ref="G3:G5" si="3">H3</f>
        <v>0</v>
      </c>
      <c r="H3" s="7">
        <v>0</v>
      </c>
      <c r="I3" s="7">
        <f t="shared" ref="I3:I5" si="4">J3</f>
        <v>113.08999999999999</v>
      </c>
      <c r="J3" s="7">
        <v>113.08999999999999</v>
      </c>
      <c r="K3" s="7">
        <f t="shared" ref="K3:K5" si="5">L3</f>
        <v>0.21299999999999999</v>
      </c>
      <c r="L3" s="7">
        <v>0.21299999999999999</v>
      </c>
      <c r="M3" s="7">
        <f t="shared" ref="M3:M5" si="6">SUM(N3:P3)</f>
        <v>0</v>
      </c>
      <c r="N3" s="7">
        <v>0</v>
      </c>
      <c r="O3" s="16"/>
      <c r="P3" s="7">
        <v>0</v>
      </c>
      <c r="Q3" s="7">
        <f t="shared" ref="Q3:Q5" si="7">R3</f>
        <v>84.14</v>
      </c>
      <c r="R3" s="7">
        <v>84.14</v>
      </c>
      <c r="S3" s="7">
        <f t="shared" ref="S3:S5" si="8">T3+W3+Z3+AB3+AE3</f>
        <v>215.20434999999975</v>
      </c>
      <c r="T3" s="7">
        <f t="shared" ref="T3:T5" si="9">SUM(U3:V3)</f>
        <v>53.614349999999753</v>
      </c>
      <c r="U3" s="7">
        <v>53.614349999999753</v>
      </c>
      <c r="V3" s="7">
        <v>0</v>
      </c>
      <c r="W3" s="7">
        <f t="shared" ref="W3:W5" si="10">SUM(X3:Y3)</f>
        <v>0</v>
      </c>
      <c r="X3" s="7">
        <v>0</v>
      </c>
      <c r="Y3" s="7">
        <v>0</v>
      </c>
      <c r="Z3" s="7">
        <f t="shared" ref="Z3:Z5" si="11">AA3</f>
        <v>161.59</v>
      </c>
      <c r="AA3" s="7">
        <v>161.59</v>
      </c>
      <c r="AB3" s="7">
        <f t="shared" ref="AB3:AB5" si="12">SUM(AC3:AD3)</f>
        <v>0</v>
      </c>
      <c r="AC3" s="7">
        <v>0</v>
      </c>
      <c r="AD3" s="7">
        <v>0</v>
      </c>
      <c r="AE3" s="7">
        <f t="shared" ref="AE3:AE5" si="13">AF3</f>
        <v>0</v>
      </c>
      <c r="AF3" s="7">
        <v>0</v>
      </c>
      <c r="AG3" s="7">
        <f t="shared" ref="AG3:AG5" si="14">AH3+AN3</f>
        <v>483.73</v>
      </c>
      <c r="AH3" s="7">
        <f t="shared" ref="AH3:AH5" si="15">AI3+AJ3</f>
        <v>10</v>
      </c>
      <c r="AI3" s="7">
        <v>10</v>
      </c>
      <c r="AJ3" s="7">
        <f t="shared" ref="AJ3:AJ5" si="16">SUM(AK3:AM3)</f>
        <v>0</v>
      </c>
      <c r="AN3" s="7">
        <f t="shared" ref="AN3:AN5" si="17">AO3+AP3+AX3</f>
        <v>473.73</v>
      </c>
      <c r="AO3" s="7">
        <v>3.24</v>
      </c>
      <c r="AP3" s="7">
        <f t="shared" ref="AP3:AP5" si="18">SUM(AQ3:AW3)</f>
        <v>0.81</v>
      </c>
      <c r="AT3" s="7">
        <v>0.81</v>
      </c>
      <c r="AX3" s="7">
        <f t="shared" ref="AX3:AX5" si="19">SUM(AY3:BD3)</f>
        <v>469.68</v>
      </c>
      <c r="AY3" s="7">
        <f t="shared" ref="AY3:AY5" si="20">BF3+BH3</f>
        <v>149.21</v>
      </c>
      <c r="AZ3" s="7">
        <v>193.63</v>
      </c>
      <c r="BA3" s="7">
        <f t="shared" ref="BA3:BA5" si="21">BM3</f>
        <v>56.64</v>
      </c>
      <c r="BB3" s="7">
        <f t="shared" ref="BB3:BB5" si="22">BO3</f>
        <v>0</v>
      </c>
      <c r="BC3" s="7">
        <f t="shared" ref="BC3:BC5" si="23">BQ3</f>
        <v>69.8</v>
      </c>
      <c r="BD3" s="20">
        <f t="shared" ref="BD3:BD5" si="24">BI3+BK3</f>
        <v>0.4</v>
      </c>
      <c r="BF3" s="7">
        <v>56.54</v>
      </c>
      <c r="BG3" s="7">
        <v>0</v>
      </c>
      <c r="BH3" s="7">
        <v>92.67</v>
      </c>
      <c r="BI3" s="20">
        <v>0.4</v>
      </c>
      <c r="BJ3" s="7">
        <v>0</v>
      </c>
      <c r="BK3" s="7">
        <v>0</v>
      </c>
      <c r="BL3" s="7">
        <v>28.32</v>
      </c>
      <c r="BM3" s="7">
        <v>56.64</v>
      </c>
      <c r="BN3" s="7">
        <v>0</v>
      </c>
      <c r="BO3" s="7">
        <v>0</v>
      </c>
      <c r="BP3" s="7">
        <v>0</v>
      </c>
      <c r="BQ3" s="7">
        <v>69.8</v>
      </c>
    </row>
    <row r="4" spans="1:69" s="7" customFormat="1" ht="29" x14ac:dyDescent="0.35">
      <c r="A4" s="41" t="s">
        <v>709</v>
      </c>
      <c r="B4" s="7">
        <f t="shared" si="0"/>
        <v>761.00157899999999</v>
      </c>
      <c r="C4" s="7">
        <f t="shared" si="1"/>
        <v>367.91300000000001</v>
      </c>
      <c r="D4" s="7">
        <f t="shared" si="2"/>
        <v>205.32300000000001</v>
      </c>
      <c r="E4" s="7">
        <v>43.552999999999997</v>
      </c>
      <c r="F4" s="7">
        <v>161.77000000000001</v>
      </c>
      <c r="G4" s="7">
        <f t="shared" si="3"/>
        <v>3</v>
      </c>
      <c r="H4" s="7">
        <v>3</v>
      </c>
      <c r="I4" s="7">
        <f t="shared" si="4"/>
        <v>28.5</v>
      </c>
      <c r="J4" s="7">
        <v>28.5</v>
      </c>
      <c r="K4" s="7">
        <f t="shared" si="5"/>
        <v>0.18</v>
      </c>
      <c r="L4" s="7">
        <v>0.18</v>
      </c>
      <c r="M4" s="7">
        <f t="shared" si="6"/>
        <v>87.41</v>
      </c>
      <c r="N4" s="7">
        <v>17.399999999999999</v>
      </c>
      <c r="O4" s="7">
        <v>42.41</v>
      </c>
      <c r="P4" s="7">
        <v>27.6</v>
      </c>
      <c r="Q4" s="7">
        <f t="shared" si="7"/>
        <v>43.5</v>
      </c>
      <c r="R4" s="7">
        <v>43.5</v>
      </c>
      <c r="S4" s="7">
        <f t="shared" si="8"/>
        <v>26.388579</v>
      </c>
      <c r="T4" s="7">
        <f t="shared" si="9"/>
        <v>0</v>
      </c>
      <c r="U4" s="7">
        <v>0</v>
      </c>
      <c r="V4" s="7">
        <v>0</v>
      </c>
      <c r="W4" s="7">
        <f t="shared" si="10"/>
        <v>0</v>
      </c>
      <c r="X4" s="7">
        <v>0</v>
      </c>
      <c r="Y4" s="7">
        <v>0</v>
      </c>
      <c r="Z4" s="7">
        <f t="shared" si="11"/>
        <v>22.613278999999999</v>
      </c>
      <c r="AA4" s="7">
        <v>22.613278999999999</v>
      </c>
      <c r="AB4" s="7">
        <f t="shared" si="12"/>
        <v>3.7753000000000001</v>
      </c>
      <c r="AC4" s="7">
        <v>0</v>
      </c>
      <c r="AD4" s="7">
        <v>3.7753000000000001</v>
      </c>
      <c r="AE4" s="7">
        <f t="shared" si="13"/>
        <v>0</v>
      </c>
      <c r="AF4" s="7">
        <v>0</v>
      </c>
      <c r="AG4" s="7">
        <f t="shared" si="14"/>
        <v>366.7</v>
      </c>
      <c r="AH4" s="7">
        <f>AI4+AJ4</f>
        <v>0</v>
      </c>
      <c r="AJ4" s="7">
        <f t="shared" si="16"/>
        <v>0</v>
      </c>
      <c r="AN4" s="7">
        <f t="shared" si="17"/>
        <v>366.7</v>
      </c>
      <c r="AO4" s="7">
        <v>28.33</v>
      </c>
      <c r="AP4" s="7">
        <f t="shared" si="18"/>
        <v>0</v>
      </c>
      <c r="AX4" s="7">
        <f t="shared" si="19"/>
        <v>338.37</v>
      </c>
      <c r="AY4" s="7">
        <f t="shared" si="20"/>
        <v>338.37</v>
      </c>
      <c r="AZ4" s="20">
        <v>0</v>
      </c>
      <c r="BA4" s="7">
        <f t="shared" si="21"/>
        <v>0</v>
      </c>
      <c r="BB4" s="7">
        <f t="shared" si="22"/>
        <v>0</v>
      </c>
      <c r="BC4" s="7">
        <f t="shared" si="23"/>
        <v>0</v>
      </c>
      <c r="BD4" s="20">
        <f t="shared" si="24"/>
        <v>0</v>
      </c>
      <c r="BF4" s="7">
        <v>20.700000000000003</v>
      </c>
      <c r="BG4" s="7">
        <v>49.56</v>
      </c>
      <c r="BH4" s="7">
        <v>317.67</v>
      </c>
      <c r="BI4" s="20">
        <v>0</v>
      </c>
      <c r="BJ4" s="7">
        <v>0</v>
      </c>
      <c r="BK4" s="7">
        <v>0</v>
      </c>
      <c r="BL4" s="7">
        <v>0</v>
      </c>
      <c r="BM4" s="7">
        <v>0</v>
      </c>
      <c r="BN4" s="7">
        <v>0</v>
      </c>
      <c r="BO4" s="7">
        <v>0</v>
      </c>
      <c r="BP4" s="7">
        <v>0</v>
      </c>
      <c r="BQ4" s="7">
        <v>0</v>
      </c>
    </row>
    <row r="5" spans="1:69" s="19" customFormat="1" ht="29" x14ac:dyDescent="0.35">
      <c r="A5" s="42" t="s">
        <v>710</v>
      </c>
      <c r="B5" s="19">
        <f t="shared" si="0"/>
        <v>54606.3282273</v>
      </c>
      <c r="C5" s="19">
        <f t="shared" si="1"/>
        <v>16671.824312299996</v>
      </c>
      <c r="D5" s="19">
        <f t="shared" si="2"/>
        <v>2745.3340000000003</v>
      </c>
      <c r="E5" s="19">
        <v>2155.1240000000003</v>
      </c>
      <c r="F5" s="19">
        <v>590.20999999999992</v>
      </c>
      <c r="G5" s="19">
        <f t="shared" si="3"/>
        <v>844.49599999999998</v>
      </c>
      <c r="H5" s="19">
        <v>844.49599999999998</v>
      </c>
      <c r="I5" s="19">
        <f t="shared" si="4"/>
        <v>797.09</v>
      </c>
      <c r="J5" s="19">
        <v>797.09</v>
      </c>
      <c r="K5" s="19">
        <f t="shared" si="5"/>
        <v>216.38199999999998</v>
      </c>
      <c r="L5" s="19">
        <v>216.38199999999998</v>
      </c>
      <c r="M5" s="19">
        <f t="shared" si="6"/>
        <v>1248.5216122999968</v>
      </c>
      <c r="N5" s="19">
        <v>349.8</v>
      </c>
      <c r="O5" s="31"/>
      <c r="P5" s="19">
        <v>898.72161229999688</v>
      </c>
      <c r="Q5" s="19">
        <f t="shared" si="7"/>
        <v>10820.000699999999</v>
      </c>
      <c r="R5" s="19">
        <v>10820.000699999999</v>
      </c>
      <c r="S5" s="19">
        <f t="shared" si="8"/>
        <v>8089.4662399999997</v>
      </c>
      <c r="T5" s="19">
        <f t="shared" si="9"/>
        <v>3233.1143499999998</v>
      </c>
      <c r="U5" s="19">
        <v>1979.1143499999998</v>
      </c>
      <c r="V5" s="19">
        <v>1254</v>
      </c>
      <c r="W5" s="19">
        <f t="shared" si="10"/>
        <v>361.6</v>
      </c>
      <c r="X5" s="19">
        <v>351.6</v>
      </c>
      <c r="Y5" s="19">
        <v>10</v>
      </c>
      <c r="Z5" s="19">
        <f t="shared" si="11"/>
        <v>1400.8971900000001</v>
      </c>
      <c r="AA5" s="19">
        <v>1400.8971900000001</v>
      </c>
      <c r="AB5" s="19">
        <f t="shared" si="12"/>
        <v>1531.4547</v>
      </c>
      <c r="AC5" s="19">
        <v>828.19</v>
      </c>
      <c r="AD5" s="19">
        <v>703.26469999999995</v>
      </c>
      <c r="AE5" s="19">
        <f t="shared" si="13"/>
        <v>1562.4</v>
      </c>
      <c r="AF5" s="19">
        <v>1562.4</v>
      </c>
      <c r="AG5" s="19">
        <f t="shared" si="14"/>
        <v>29845.037675000007</v>
      </c>
      <c r="AH5" s="19">
        <f t="shared" si="15"/>
        <v>935.08</v>
      </c>
      <c r="AI5" s="19">
        <v>845.1</v>
      </c>
      <c r="AJ5" s="19">
        <f t="shared" si="16"/>
        <v>89.98</v>
      </c>
      <c r="AK5" s="19">
        <v>25.98</v>
      </c>
      <c r="AL5" s="19">
        <v>25</v>
      </c>
      <c r="AM5" s="19">
        <v>39</v>
      </c>
      <c r="AN5" s="19">
        <f t="shared" si="17"/>
        <v>28909.957675000005</v>
      </c>
      <c r="AO5" s="19">
        <v>867.64678400000003</v>
      </c>
      <c r="AP5" s="19">
        <f t="shared" si="18"/>
        <v>935.46089100000006</v>
      </c>
      <c r="AR5" s="19">
        <v>30.650891000000001</v>
      </c>
      <c r="AS5" s="19">
        <v>439.08</v>
      </c>
      <c r="AT5" s="19">
        <f>AT2+AT3-AT4</f>
        <v>167.11</v>
      </c>
      <c r="AU5" s="19">
        <v>232.12</v>
      </c>
      <c r="AV5" s="19">
        <v>51.8</v>
      </c>
      <c r="AW5" s="19">
        <v>14.7</v>
      </c>
      <c r="AX5" s="19">
        <f t="shared" si="19"/>
        <v>27106.850000000006</v>
      </c>
      <c r="AY5" s="19">
        <f t="shared" si="20"/>
        <v>11319.560000000001</v>
      </c>
      <c r="AZ5" s="19">
        <v>5494.7300000000005</v>
      </c>
      <c r="BA5" s="19">
        <f t="shared" si="21"/>
        <v>769.74</v>
      </c>
      <c r="BB5" s="19">
        <f t="shared" si="22"/>
        <v>2919.06</v>
      </c>
      <c r="BC5" s="19">
        <f t="shared" si="23"/>
        <v>2091.4900000000002</v>
      </c>
      <c r="BD5" s="30">
        <f t="shared" si="24"/>
        <v>4512.2700000000004</v>
      </c>
      <c r="BF5" s="19">
        <v>4019.84</v>
      </c>
      <c r="BG5" s="19">
        <v>7475.16</v>
      </c>
      <c r="BH5" s="19">
        <v>7299.72</v>
      </c>
      <c r="BI5" s="30">
        <v>827.27</v>
      </c>
      <c r="BJ5" s="19">
        <v>0</v>
      </c>
      <c r="BK5" s="19">
        <v>3685</v>
      </c>
      <c r="BL5" s="19">
        <v>741.42000000000007</v>
      </c>
      <c r="BM5" s="19">
        <v>769.74</v>
      </c>
      <c r="BN5" s="19">
        <v>2919.06</v>
      </c>
      <c r="BO5" s="19">
        <v>2919.06</v>
      </c>
      <c r="BP5" s="19">
        <v>2021.69</v>
      </c>
      <c r="BQ5" s="19">
        <v>2091.4900000000002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5370C-413B-461F-B81B-193228A7ABE5}">
  <sheetPr>
    <tabColor rgb="FFFF0000"/>
  </sheetPr>
  <dimension ref="A1:AX71"/>
  <sheetViews>
    <sheetView showGridLines="0" zoomScaleNormal="100" workbookViewId="0">
      <pane xSplit="1" ySplit="1" topLeftCell="B2" activePane="bottomRight" state="frozen"/>
      <selection pane="topRight" activeCell="H1" sqref="H1:O1"/>
      <selection pane="bottomLeft" activeCell="H1" sqref="H1:O1"/>
      <selection pane="bottomRight" activeCell="H1" sqref="H1:O1"/>
    </sheetView>
  </sheetViews>
  <sheetFormatPr defaultColWidth="9.1796875" defaultRowHeight="14.5" x14ac:dyDescent="0.35"/>
  <cols>
    <col min="1" max="1" width="29.54296875" customWidth="1"/>
    <col min="2" max="3" width="21.453125" customWidth="1"/>
    <col min="4" max="4" width="20.453125" customWidth="1"/>
    <col min="5" max="5" width="23" bestFit="1" customWidth="1"/>
    <col min="6" max="12" width="9.1796875" customWidth="1"/>
    <col min="13" max="13" width="10.81640625" customWidth="1"/>
    <col min="14" max="14" width="12.453125" customWidth="1"/>
    <col min="15" max="17" width="9.1796875" customWidth="1"/>
    <col min="18" max="18" width="14.453125" customWidth="1"/>
    <col min="19" max="19" width="11.1796875" bestFit="1" customWidth="1"/>
    <col min="20" max="20" width="10.54296875" customWidth="1"/>
    <col min="21" max="21" width="11.453125" customWidth="1"/>
    <col min="22" max="25" width="9.1796875" customWidth="1"/>
    <col min="26" max="26" width="10.54296875" customWidth="1"/>
    <col min="27" max="28" width="9.1796875" customWidth="1"/>
    <col min="29" max="29" width="11.453125" customWidth="1"/>
    <col min="30" max="32" width="9.1796875" customWidth="1"/>
    <col min="33" max="33" width="9.453125" bestFit="1" customWidth="1"/>
    <col min="34" max="42" width="9.1796875" customWidth="1"/>
    <col min="43" max="49" width="9.1796875" hidden="1" customWidth="1"/>
    <col min="50" max="50" width="9.1796875" customWidth="1" collapsed="1"/>
    <col min="51" max="56" width="9.1796875" customWidth="1"/>
    <col min="61" max="61" width="9.453125" bestFit="1" customWidth="1"/>
  </cols>
  <sheetData>
    <row r="1" spans="1:5" ht="29" x14ac:dyDescent="0.35">
      <c r="A1" s="119" t="s">
        <v>711</v>
      </c>
      <c r="B1" s="131" t="s">
        <v>712</v>
      </c>
      <c r="C1" s="131" t="s">
        <v>713</v>
      </c>
      <c r="D1" s="131" t="s">
        <v>714</v>
      </c>
      <c r="E1" s="132" t="s">
        <v>715</v>
      </c>
    </row>
    <row r="2" spans="1:5" x14ac:dyDescent="0.35">
      <c r="A2" s="128" t="s">
        <v>348</v>
      </c>
      <c r="B2" s="105">
        <f>B3+B19+B33</f>
        <v>0.10163233770000001</v>
      </c>
      <c r="C2" s="105">
        <f>C3+C19+C33</f>
        <v>0.1707009193</v>
      </c>
      <c r="D2" s="105">
        <f>D3+D19+D33</f>
        <v>0.10705885021381391</v>
      </c>
      <c r="E2" s="133">
        <f>E3+E19+E33</f>
        <v>9.9548603858964718E-2</v>
      </c>
    </row>
    <row r="3" spans="1:5" x14ac:dyDescent="0.35">
      <c r="A3" s="117" t="s">
        <v>349</v>
      </c>
      <c r="B3" s="99">
        <f>B4+B7+B9+B11+B13+B17</f>
        <v>0.10163233770000001</v>
      </c>
      <c r="C3" s="99">
        <f>C4+C7+C9+C11+C13+C17</f>
        <v>7.0091930000000004E-4</v>
      </c>
      <c r="D3" s="99">
        <f>D4+D7+D9+D11+D13+D17</f>
        <v>0.10705885021381391</v>
      </c>
      <c r="E3" s="134">
        <f>E4+E7+E9+E11+E13+E17</f>
        <v>3.0841305739E-5</v>
      </c>
    </row>
    <row r="4" spans="1:5" x14ac:dyDescent="0.35">
      <c r="A4" s="118" t="s">
        <v>351</v>
      </c>
      <c r="B4" s="100">
        <f>SUM(B5:B6)</f>
        <v>0</v>
      </c>
      <c r="C4" s="100">
        <f>SUM(C5:C6)</f>
        <v>0</v>
      </c>
      <c r="D4" s="100">
        <f>SUM(D5:D6)</f>
        <v>0</v>
      </c>
      <c r="E4" s="116">
        <f>SUM(E5:E6)</f>
        <v>0</v>
      </c>
    </row>
    <row r="5" spans="1:5" x14ac:dyDescent="0.35">
      <c r="A5" s="120" t="s">
        <v>352</v>
      </c>
      <c r="B5" s="124"/>
      <c r="C5" s="124"/>
      <c r="D5" s="124"/>
      <c r="E5" s="135"/>
    </row>
    <row r="6" spans="1:5" x14ac:dyDescent="0.35">
      <c r="A6" s="120" t="s">
        <v>353</v>
      </c>
      <c r="B6" s="124"/>
      <c r="C6" s="124"/>
      <c r="D6" s="124"/>
      <c r="E6" s="135">
        <v>0</v>
      </c>
    </row>
    <row r="7" spans="1:5" x14ac:dyDescent="0.35">
      <c r="A7" s="118" t="s">
        <v>354</v>
      </c>
      <c r="B7" s="100">
        <f>B8</f>
        <v>0</v>
      </c>
      <c r="C7" s="100">
        <f>C8</f>
        <v>0</v>
      </c>
      <c r="D7" s="100">
        <f>D8</f>
        <v>0</v>
      </c>
      <c r="E7" s="116">
        <f>E8</f>
        <v>0</v>
      </c>
    </row>
    <row r="8" spans="1:5" x14ac:dyDescent="0.35">
      <c r="A8" s="120" t="s">
        <v>355</v>
      </c>
      <c r="B8" s="26"/>
      <c r="C8" s="26"/>
      <c r="D8" s="26"/>
      <c r="E8" s="103">
        <v>0</v>
      </c>
    </row>
    <row r="9" spans="1:5" x14ac:dyDescent="0.35">
      <c r="A9" s="118" t="s">
        <v>356</v>
      </c>
      <c r="B9" s="100">
        <f>B10</f>
        <v>0</v>
      </c>
      <c r="C9" s="100">
        <f>C10</f>
        <v>0</v>
      </c>
      <c r="D9" s="100">
        <f>D10</f>
        <v>0</v>
      </c>
      <c r="E9" s="116">
        <f>E10</f>
        <v>0</v>
      </c>
    </row>
    <row r="10" spans="1:5" x14ac:dyDescent="0.35">
      <c r="A10" s="120" t="s">
        <v>357</v>
      </c>
      <c r="B10" s="124"/>
      <c r="C10" s="124"/>
      <c r="D10" s="124"/>
      <c r="E10" s="135"/>
    </row>
    <row r="11" spans="1:5" x14ac:dyDescent="0.35">
      <c r="A11" s="118" t="s">
        <v>358</v>
      </c>
      <c r="B11" s="100">
        <f>B12</f>
        <v>0</v>
      </c>
      <c r="C11" s="100">
        <f>C12</f>
        <v>0</v>
      </c>
      <c r="D11" s="100">
        <f>D12</f>
        <v>0</v>
      </c>
      <c r="E11" s="116">
        <f>E12</f>
        <v>0</v>
      </c>
    </row>
    <row r="12" spans="1:5" x14ac:dyDescent="0.35">
      <c r="A12" s="120" t="s">
        <v>359</v>
      </c>
      <c r="B12" s="26"/>
      <c r="C12" s="26"/>
      <c r="D12" s="26"/>
      <c r="E12" s="103">
        <v>0</v>
      </c>
    </row>
    <row r="13" spans="1:5" x14ac:dyDescent="0.35">
      <c r="A13" s="118" t="s">
        <v>360</v>
      </c>
      <c r="B13" s="100">
        <f>SUM(B14:B16)</f>
        <v>0.1</v>
      </c>
      <c r="C13" s="100">
        <f>SUM(C14:C16)</f>
        <v>0</v>
      </c>
      <c r="D13" s="100">
        <f>SUM(D14:D16)</f>
        <v>0.10700000000000001</v>
      </c>
      <c r="E13" s="116">
        <f>SUM(E14:E16)</f>
        <v>0</v>
      </c>
    </row>
    <row r="14" spans="1:5" x14ac:dyDescent="0.35">
      <c r="A14" s="120" t="s">
        <v>361</v>
      </c>
      <c r="B14" s="26">
        <v>0</v>
      </c>
      <c r="C14" s="26">
        <v>0</v>
      </c>
      <c r="D14" s="26"/>
      <c r="E14" s="103">
        <v>0</v>
      </c>
    </row>
    <row r="15" spans="1:5" x14ac:dyDescent="0.35">
      <c r="A15" s="120" t="s">
        <v>362</v>
      </c>
      <c r="B15" s="26">
        <v>0</v>
      </c>
      <c r="C15" s="26">
        <v>0</v>
      </c>
      <c r="D15" s="26">
        <v>0.10700000000000001</v>
      </c>
      <c r="E15" s="103">
        <v>0</v>
      </c>
    </row>
    <row r="16" spans="1:5" x14ac:dyDescent="0.35">
      <c r="A16" s="120" t="s">
        <v>363</v>
      </c>
      <c r="B16" s="26">
        <v>0.1</v>
      </c>
      <c r="C16" s="26">
        <v>0</v>
      </c>
      <c r="D16" s="26"/>
      <c r="E16" s="103">
        <v>0</v>
      </c>
    </row>
    <row r="17" spans="1:5" x14ac:dyDescent="0.35">
      <c r="A17" s="118" t="s">
        <v>364</v>
      </c>
      <c r="B17" s="100">
        <f>B18</f>
        <v>1.6323377000000002E-3</v>
      </c>
      <c r="C17" s="100">
        <f>C18</f>
        <v>7.0091930000000004E-4</v>
      </c>
      <c r="D17" s="100">
        <f>D18</f>
        <v>5.8850213813899997E-5</v>
      </c>
      <c r="E17" s="116">
        <f>E18</f>
        <v>3.0841305739E-5</v>
      </c>
    </row>
    <row r="18" spans="1:5" x14ac:dyDescent="0.35">
      <c r="A18" s="120" t="s">
        <v>365</v>
      </c>
      <c r="B18" s="26">
        <v>1.6323377000000002E-3</v>
      </c>
      <c r="C18" s="26">
        <v>7.0091930000000004E-4</v>
      </c>
      <c r="D18" s="26">
        <v>5.8850213813899997E-5</v>
      </c>
      <c r="E18" s="103">
        <v>3.0841305739E-5</v>
      </c>
    </row>
    <row r="19" spans="1:5" x14ac:dyDescent="0.35">
      <c r="A19" s="117" t="s">
        <v>366</v>
      </c>
      <c r="B19" s="99">
        <f>B20+B23+B26+B28+B31</f>
        <v>0</v>
      </c>
      <c r="C19" s="99">
        <f>C20+C23+C26+C28+C31</f>
        <v>0</v>
      </c>
      <c r="D19" s="99">
        <f>D20+D23+D26+D28+D31</f>
        <v>0</v>
      </c>
      <c r="E19" s="134">
        <f>E20+E23+E26+E28+E31</f>
        <v>7.9517762553225721E-2</v>
      </c>
    </row>
    <row r="20" spans="1:5" x14ac:dyDescent="0.35">
      <c r="A20" s="118" t="s">
        <v>367</v>
      </c>
      <c r="B20" s="100">
        <f>SUM(B21:B22)</f>
        <v>0</v>
      </c>
      <c r="C20" s="100">
        <f>SUM(C21:C22)</f>
        <v>0</v>
      </c>
      <c r="D20" s="100">
        <f>SUM(D21:D22)</f>
        <v>0</v>
      </c>
      <c r="E20" s="116">
        <f>SUM(E21:E22)</f>
        <v>0</v>
      </c>
    </row>
    <row r="21" spans="1:5" x14ac:dyDescent="0.35">
      <c r="A21" s="120" t="s">
        <v>368</v>
      </c>
      <c r="B21" s="124"/>
      <c r="C21" s="124"/>
      <c r="D21" s="124"/>
      <c r="E21" s="135"/>
    </row>
    <row r="22" spans="1:5" x14ac:dyDescent="0.35">
      <c r="A22" s="120" t="s">
        <v>369</v>
      </c>
      <c r="B22" s="130"/>
      <c r="C22" s="130"/>
      <c r="D22" s="130"/>
      <c r="E22" s="136"/>
    </row>
    <row r="23" spans="1:5" x14ac:dyDescent="0.35">
      <c r="A23" s="118" t="s">
        <v>371</v>
      </c>
      <c r="B23" s="100">
        <f>SUM(B24:B25)</f>
        <v>0</v>
      </c>
      <c r="C23" s="100">
        <f>SUM(C24:C25)</f>
        <v>0</v>
      </c>
      <c r="D23" s="100">
        <f>SUM(D24:D25)</f>
        <v>0</v>
      </c>
      <c r="E23" s="116">
        <f>SUM(E24:E25)</f>
        <v>0</v>
      </c>
    </row>
    <row r="24" spans="1:5" x14ac:dyDescent="0.35">
      <c r="A24" s="120" t="s">
        <v>372</v>
      </c>
      <c r="B24" s="130"/>
      <c r="C24" s="130"/>
      <c r="D24" s="130"/>
      <c r="E24" s="136"/>
    </row>
    <row r="25" spans="1:5" x14ac:dyDescent="0.35">
      <c r="A25" s="120" t="s">
        <v>373</v>
      </c>
      <c r="B25" s="130"/>
      <c r="C25" s="130"/>
      <c r="D25" s="130"/>
      <c r="E25" s="136"/>
    </row>
    <row r="26" spans="1:5" x14ac:dyDescent="0.35">
      <c r="A26" s="118" t="s">
        <v>374</v>
      </c>
      <c r="B26" s="100">
        <f>B27</f>
        <v>0</v>
      </c>
      <c r="C26" s="100">
        <f>C27</f>
        <v>0</v>
      </c>
      <c r="D26" s="100">
        <f>D27</f>
        <v>0</v>
      </c>
      <c r="E26" s="116">
        <f>E27</f>
        <v>7.9517762553225721E-2</v>
      </c>
    </row>
    <row r="27" spans="1:5" x14ac:dyDescent="0.35">
      <c r="A27" s="120" t="s">
        <v>375</v>
      </c>
      <c r="B27" s="26"/>
      <c r="C27" s="26"/>
      <c r="D27" s="26"/>
      <c r="E27" s="103">
        <v>7.9517762553225721E-2</v>
      </c>
    </row>
    <row r="28" spans="1:5" x14ac:dyDescent="0.35">
      <c r="A28" s="118" t="s">
        <v>376</v>
      </c>
      <c r="B28" s="100">
        <f>SUM(B29:B30)</f>
        <v>0</v>
      </c>
      <c r="C28" s="100">
        <f>SUM(C29:C30)</f>
        <v>0</v>
      </c>
      <c r="D28" s="100">
        <f>SUM(D29:D30)</f>
        <v>0</v>
      </c>
      <c r="E28" s="116">
        <f>SUM(E29:E30)</f>
        <v>0</v>
      </c>
    </row>
    <row r="29" spans="1:5" x14ac:dyDescent="0.35">
      <c r="A29" s="120" t="s">
        <v>377</v>
      </c>
      <c r="B29" s="124"/>
      <c r="C29" s="124"/>
      <c r="D29" s="124"/>
      <c r="E29" s="135"/>
    </row>
    <row r="30" spans="1:5" x14ac:dyDescent="0.35">
      <c r="A30" s="120" t="s">
        <v>378</v>
      </c>
      <c r="B30" s="124"/>
      <c r="C30" s="124"/>
      <c r="D30" s="124"/>
      <c r="E30" s="135"/>
    </row>
    <row r="31" spans="1:5" x14ac:dyDescent="0.35">
      <c r="A31" s="118" t="s">
        <v>379</v>
      </c>
      <c r="B31" s="100">
        <f>B32</f>
        <v>0</v>
      </c>
      <c r="C31" s="100">
        <f>C32</f>
        <v>0</v>
      </c>
      <c r="D31" s="100">
        <f>D32</f>
        <v>0</v>
      </c>
      <c r="E31" s="116">
        <f>E32</f>
        <v>0</v>
      </c>
    </row>
    <row r="32" spans="1:5" x14ac:dyDescent="0.35">
      <c r="A32" s="120" t="s">
        <v>380</v>
      </c>
      <c r="B32" s="26"/>
      <c r="C32" s="26"/>
      <c r="D32" s="26"/>
      <c r="E32" s="103"/>
    </row>
    <row r="33" spans="1:5" x14ac:dyDescent="0.35">
      <c r="A33" s="117" t="s">
        <v>381</v>
      </c>
      <c r="B33" s="99">
        <f>B34+B40</f>
        <v>0</v>
      </c>
      <c r="C33" s="99">
        <f>C34+C40</f>
        <v>0.17</v>
      </c>
      <c r="D33" s="99">
        <f>D34+D40</f>
        <v>0</v>
      </c>
      <c r="E33" s="134">
        <f>E34+E40</f>
        <v>0.02</v>
      </c>
    </row>
    <row r="34" spans="1:5" x14ac:dyDescent="0.35">
      <c r="A34" s="118" t="s">
        <v>382</v>
      </c>
      <c r="B34" s="100">
        <f>B35+B36</f>
        <v>0</v>
      </c>
      <c r="C34" s="100">
        <f>C35+C36</f>
        <v>0</v>
      </c>
      <c r="D34" s="100">
        <f>D35+D36</f>
        <v>0</v>
      </c>
      <c r="E34" s="116">
        <f>E35+E36</f>
        <v>0</v>
      </c>
    </row>
    <row r="35" spans="1:5" x14ac:dyDescent="0.35">
      <c r="A35" s="120" t="s">
        <v>383</v>
      </c>
      <c r="B35" s="26"/>
      <c r="C35" s="26">
        <v>0</v>
      </c>
      <c r="D35" s="26"/>
      <c r="E35" s="103">
        <v>0</v>
      </c>
    </row>
    <row r="36" spans="1:5" x14ac:dyDescent="0.35">
      <c r="A36" s="120" t="s">
        <v>373</v>
      </c>
      <c r="B36" s="26">
        <f>SUM(B37:B39)</f>
        <v>0</v>
      </c>
      <c r="C36" s="26">
        <f>SUM(C37:C39)</f>
        <v>0</v>
      </c>
      <c r="D36" s="26">
        <f>SUM(D37:D39)</f>
        <v>0</v>
      </c>
      <c r="E36" s="103">
        <f>SUM(E37:E39)</f>
        <v>0</v>
      </c>
    </row>
    <row r="37" spans="1:5" hidden="1" x14ac:dyDescent="0.35">
      <c r="A37" s="120" t="s">
        <v>516</v>
      </c>
      <c r="B37" s="26"/>
      <c r="C37" s="26"/>
      <c r="D37" s="26"/>
      <c r="E37" s="103"/>
    </row>
    <row r="38" spans="1:5" hidden="1" x14ac:dyDescent="0.35">
      <c r="A38" s="120" t="s">
        <v>517</v>
      </c>
      <c r="B38" s="26"/>
      <c r="C38" s="26"/>
      <c r="D38" s="26"/>
      <c r="E38" s="103"/>
    </row>
    <row r="39" spans="1:5" hidden="1" x14ac:dyDescent="0.35">
      <c r="A39" s="120" t="s">
        <v>518</v>
      </c>
      <c r="B39" s="26"/>
      <c r="C39" s="26"/>
      <c r="D39" s="26"/>
      <c r="E39" s="103"/>
    </row>
    <row r="40" spans="1:5" x14ac:dyDescent="0.35">
      <c r="A40" s="118" t="s">
        <v>384</v>
      </c>
      <c r="B40" s="100">
        <f>B41+B42+B50</f>
        <v>0</v>
      </c>
      <c r="C40" s="100">
        <f>C41+C42+C50</f>
        <v>0.17</v>
      </c>
      <c r="D40" s="100">
        <f>D41+D42+D50</f>
        <v>0</v>
      </c>
      <c r="E40" s="116">
        <f>E41+E42+E50</f>
        <v>0.02</v>
      </c>
    </row>
    <row r="41" spans="1:5" x14ac:dyDescent="0.35">
      <c r="A41" s="120" t="s">
        <v>385</v>
      </c>
      <c r="B41" s="26"/>
      <c r="C41" s="26">
        <v>0</v>
      </c>
      <c r="D41" s="26"/>
      <c r="E41" s="103">
        <v>0</v>
      </c>
    </row>
    <row r="42" spans="1:5" x14ac:dyDescent="0.35">
      <c r="A42" s="120" t="s">
        <v>373</v>
      </c>
      <c r="B42" s="26">
        <f>SUM(B43:B49)</f>
        <v>0</v>
      </c>
      <c r="C42" s="26">
        <f>SUM(C43:C49)</f>
        <v>0</v>
      </c>
      <c r="D42" s="26">
        <f>SUM(D43:D49)</f>
        <v>0</v>
      </c>
      <c r="E42" s="103">
        <f>SUM(E43:E49)</f>
        <v>0</v>
      </c>
    </row>
    <row r="43" spans="1:5" hidden="1" x14ac:dyDescent="0.35">
      <c r="A43" s="120" t="s">
        <v>525</v>
      </c>
      <c r="B43" s="26"/>
      <c r="C43" s="26"/>
      <c r="D43" s="26"/>
      <c r="E43" s="103"/>
    </row>
    <row r="44" spans="1:5" hidden="1" x14ac:dyDescent="0.35">
      <c r="A44" s="120" t="s">
        <v>526</v>
      </c>
      <c r="B44" s="26"/>
      <c r="C44" s="26"/>
      <c r="D44" s="26"/>
      <c r="E44" s="103"/>
    </row>
    <row r="45" spans="1:5" hidden="1" x14ac:dyDescent="0.35">
      <c r="A45" s="120" t="s">
        <v>527</v>
      </c>
      <c r="B45" s="26"/>
      <c r="C45" s="26"/>
      <c r="D45" s="26"/>
      <c r="E45" s="103"/>
    </row>
    <row r="46" spans="1:5" hidden="1" x14ac:dyDescent="0.35">
      <c r="A46" s="120" t="s">
        <v>528</v>
      </c>
      <c r="B46" s="26"/>
      <c r="C46" s="26"/>
      <c r="D46" s="26"/>
      <c r="E46" s="103"/>
    </row>
    <row r="47" spans="1:5" hidden="1" x14ac:dyDescent="0.35">
      <c r="A47" s="120" t="s">
        <v>529</v>
      </c>
      <c r="B47" s="26"/>
      <c r="C47" s="26"/>
      <c r="D47" s="26"/>
      <c r="E47" s="103"/>
    </row>
    <row r="48" spans="1:5" hidden="1" x14ac:dyDescent="0.35">
      <c r="A48" s="120" t="s">
        <v>530</v>
      </c>
      <c r="B48" s="26"/>
      <c r="C48" s="26"/>
      <c r="D48" s="26"/>
      <c r="E48" s="103"/>
    </row>
    <row r="49" spans="1:5" hidden="1" x14ac:dyDescent="0.35">
      <c r="A49" s="120" t="s">
        <v>531</v>
      </c>
      <c r="B49" s="26"/>
      <c r="C49" s="26"/>
      <c r="D49" s="26"/>
      <c r="E49" s="103"/>
    </row>
    <row r="50" spans="1:5" x14ac:dyDescent="0.35">
      <c r="A50" s="129" t="s">
        <v>386</v>
      </c>
      <c r="B50" s="101">
        <f>SUM(B52:B58)</f>
        <v>0</v>
      </c>
      <c r="C50" s="101">
        <f>SUM(C52:C58)</f>
        <v>0.17</v>
      </c>
      <c r="D50" s="101">
        <f>SUM(D52:D58)</f>
        <v>0</v>
      </c>
      <c r="E50" s="137">
        <f>SUM(E52:E58)</f>
        <v>0.02</v>
      </c>
    </row>
    <row r="51" spans="1:5" x14ac:dyDescent="0.35">
      <c r="A51" s="120" t="s">
        <v>388</v>
      </c>
      <c r="B51" s="124"/>
      <c r="C51" s="124"/>
      <c r="D51" s="124"/>
      <c r="E51" s="135"/>
    </row>
    <row r="52" spans="1:5" x14ac:dyDescent="0.35">
      <c r="A52" s="120" t="s">
        <v>387</v>
      </c>
      <c r="B52" s="124"/>
      <c r="C52" s="124"/>
      <c r="D52" s="124"/>
      <c r="E52" s="135"/>
    </row>
    <row r="53" spans="1:5" x14ac:dyDescent="0.35">
      <c r="A53" s="120" t="s">
        <v>389</v>
      </c>
      <c r="B53" s="98"/>
      <c r="C53" s="98">
        <v>0.17</v>
      </c>
      <c r="D53" s="98"/>
      <c r="E53" s="159">
        <v>0.02</v>
      </c>
    </row>
    <row r="54" spans="1:5" x14ac:dyDescent="0.35">
      <c r="A54" s="120" t="s">
        <v>391</v>
      </c>
      <c r="B54" s="124"/>
      <c r="C54" s="124"/>
      <c r="D54" s="124"/>
      <c r="E54" s="135"/>
    </row>
    <row r="55" spans="1:5" x14ac:dyDescent="0.35">
      <c r="A55" s="120" t="s">
        <v>390</v>
      </c>
      <c r="B55" s="124"/>
      <c r="C55" s="124"/>
      <c r="D55" s="124"/>
      <c r="E55" s="135"/>
    </row>
    <row r="56" spans="1:5" x14ac:dyDescent="0.35">
      <c r="A56" s="120" t="s">
        <v>392</v>
      </c>
      <c r="B56" s="124"/>
      <c r="C56" s="124"/>
      <c r="D56" s="124"/>
      <c r="E56" s="135"/>
    </row>
    <row r="57" spans="1:5" ht="15" thickBot="1" x14ac:dyDescent="0.4">
      <c r="A57" s="121" t="s">
        <v>393</v>
      </c>
      <c r="B57" s="160"/>
      <c r="C57" s="160"/>
      <c r="D57" s="160"/>
      <c r="E57" s="161"/>
    </row>
    <row r="58" spans="1:5" ht="15" thickBot="1" x14ac:dyDescent="0.4">
      <c r="A58" s="121" t="s">
        <v>394</v>
      </c>
      <c r="B58" s="160"/>
      <c r="C58" s="160"/>
      <c r="D58" s="160"/>
      <c r="E58" s="161"/>
    </row>
    <row r="59" spans="1:5" hidden="1" x14ac:dyDescent="0.35">
      <c r="A59" s="1"/>
      <c r="B59" s="7"/>
      <c r="C59" s="7"/>
      <c r="D59" s="7"/>
      <c r="E59" s="7"/>
    </row>
    <row r="60" spans="1:5" hidden="1" x14ac:dyDescent="0.35">
      <c r="A60" s="1" t="s">
        <v>696</v>
      </c>
      <c r="B60" s="7"/>
      <c r="C60" s="7"/>
      <c r="D60" s="7"/>
      <c r="E60" s="7"/>
    </row>
    <row r="61" spans="1:5" hidden="1" x14ac:dyDescent="0.35">
      <c r="A61" s="1" t="s">
        <v>697</v>
      </c>
      <c r="B61" s="16"/>
      <c r="C61" s="16"/>
      <c r="D61" s="16"/>
      <c r="E61" s="16"/>
    </row>
    <row r="62" spans="1:5" hidden="1" x14ac:dyDescent="0.35">
      <c r="A62" s="1" t="s">
        <v>698</v>
      </c>
      <c r="B62" s="16"/>
      <c r="C62" s="16"/>
      <c r="D62" s="16"/>
      <c r="E62" s="16"/>
    </row>
    <row r="63" spans="1:5" hidden="1" x14ac:dyDescent="0.35">
      <c r="A63" s="1" t="s">
        <v>694</v>
      </c>
      <c r="B63" s="7">
        <v>2.1049217213192</v>
      </c>
      <c r="C63" s="7">
        <v>0.16821198593014486</v>
      </c>
      <c r="D63" s="7">
        <v>17.183801756051889</v>
      </c>
      <c r="E63" s="7">
        <v>0.32115112750000002</v>
      </c>
    </row>
    <row r="64" spans="1:5" hidden="1" x14ac:dyDescent="0.35">
      <c r="A64" s="1" t="s">
        <v>699</v>
      </c>
      <c r="B64" s="16"/>
      <c r="C64" s="16"/>
      <c r="D64" s="16"/>
      <c r="E64" s="16"/>
    </row>
    <row r="65" spans="1:5" hidden="1" x14ac:dyDescent="0.35">
      <c r="A65" s="1" t="s">
        <v>700</v>
      </c>
      <c r="B65" s="16"/>
      <c r="C65" s="16"/>
      <c r="D65" s="16"/>
      <c r="E65" s="16"/>
    </row>
    <row r="66" spans="1:5" hidden="1" x14ac:dyDescent="0.35">
      <c r="A66" s="1" t="s">
        <v>701</v>
      </c>
      <c r="B66" s="7"/>
      <c r="C66" s="7"/>
      <c r="D66" s="7"/>
      <c r="E66" s="7"/>
    </row>
    <row r="67" spans="1:5" hidden="1" x14ac:dyDescent="0.35">
      <c r="A67" s="1" t="s">
        <v>702</v>
      </c>
      <c r="B67" s="7"/>
      <c r="C67" s="7"/>
      <c r="D67" s="7"/>
      <c r="E67" s="7"/>
    </row>
    <row r="68" spans="1:5" hidden="1" x14ac:dyDescent="0.35">
      <c r="A68" s="1" t="s">
        <v>703</v>
      </c>
      <c r="B68" s="7"/>
      <c r="C68" s="7"/>
      <c r="D68" s="7"/>
      <c r="E68" s="7"/>
    </row>
    <row r="69" spans="1:5" hidden="1" x14ac:dyDescent="0.35">
      <c r="A69" s="1" t="s">
        <v>704</v>
      </c>
      <c r="B69" s="7"/>
      <c r="C69" s="7"/>
      <c r="D69" s="7"/>
      <c r="E69" s="7"/>
    </row>
    <row r="70" spans="1:5" hidden="1" x14ac:dyDescent="0.35">
      <c r="A70" s="1" t="s">
        <v>705</v>
      </c>
      <c r="B70" s="7"/>
      <c r="C70" s="7"/>
      <c r="D70" s="7"/>
      <c r="E70" s="7"/>
    </row>
    <row r="71" spans="1:5" hidden="1" x14ac:dyDescent="0.35">
      <c r="A71" s="1" t="s">
        <v>706</v>
      </c>
      <c r="B71" s="7"/>
      <c r="C71" s="7"/>
      <c r="D71" s="7"/>
      <c r="E71" s="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BBF93-0675-4717-8E9A-EE9E3CB38331}">
  <dimension ref="A1:K138"/>
  <sheetViews>
    <sheetView tabSelected="1" topLeftCell="B1" zoomScale="85" zoomScaleNormal="85" workbookViewId="0">
      <selection activeCell="B1" sqref="B1"/>
    </sheetView>
  </sheetViews>
  <sheetFormatPr defaultColWidth="8.81640625" defaultRowHeight="14.5" x14ac:dyDescent="0.35"/>
  <cols>
    <col min="1" max="1" width="11" style="533" customWidth="1"/>
    <col min="2" max="2" width="15.453125" style="533" customWidth="1"/>
    <col min="3" max="3" width="21" style="534" customWidth="1"/>
    <col min="4" max="4" width="16.54296875" style="533" customWidth="1"/>
    <col min="5" max="5" width="32" style="534" customWidth="1"/>
    <col min="6" max="6" width="11.1796875" style="534" bestFit="1" customWidth="1"/>
    <col min="7" max="7" width="37.54296875" style="535" customWidth="1"/>
    <col min="8" max="8" width="18" style="536" customWidth="1"/>
    <col min="9" max="10" width="19.453125" style="536" customWidth="1"/>
    <col min="11" max="11" width="106.453125" style="537" customWidth="1"/>
    <col min="12" max="16384" width="8.81640625" style="508"/>
  </cols>
  <sheetData>
    <row r="1" spans="1:11" s="502" customFormat="1" ht="26" x14ac:dyDescent="0.35">
      <c r="A1" s="427" t="s">
        <v>0</v>
      </c>
      <c r="B1" s="427" t="s">
        <v>878</v>
      </c>
      <c r="C1" s="427" t="s">
        <v>1</v>
      </c>
      <c r="D1" s="427" t="s">
        <v>2</v>
      </c>
      <c r="E1" s="427" t="s">
        <v>3</v>
      </c>
      <c r="F1" s="427" t="s">
        <v>4</v>
      </c>
      <c r="G1" s="427" t="s">
        <v>5</v>
      </c>
      <c r="H1" s="427" t="s">
        <v>6</v>
      </c>
      <c r="I1" s="427" t="s">
        <v>7</v>
      </c>
      <c r="J1" s="427" t="s">
        <v>8</v>
      </c>
      <c r="K1" s="427" t="s">
        <v>9</v>
      </c>
    </row>
    <row r="2" spans="1:11" x14ac:dyDescent="0.35">
      <c r="A2" s="503" t="s">
        <v>10</v>
      </c>
      <c r="B2" s="503" t="s">
        <v>731</v>
      </c>
      <c r="C2" s="504" t="s">
        <v>11</v>
      </c>
      <c r="D2" s="503" t="s">
        <v>12</v>
      </c>
      <c r="E2" s="504" t="s">
        <v>13</v>
      </c>
      <c r="F2" s="504" t="s">
        <v>14</v>
      </c>
      <c r="G2" s="505" t="s">
        <v>15</v>
      </c>
      <c r="H2" s="506"/>
      <c r="I2" s="506"/>
      <c r="J2" s="506"/>
      <c r="K2" s="507" t="s">
        <v>16</v>
      </c>
    </row>
    <row r="3" spans="1:11" ht="25" x14ac:dyDescent="0.35">
      <c r="A3" s="509" t="s">
        <v>10</v>
      </c>
      <c r="B3" s="503" t="s">
        <v>731</v>
      </c>
      <c r="C3" s="510" t="s">
        <v>11</v>
      </c>
      <c r="D3" s="509" t="s">
        <v>17</v>
      </c>
      <c r="E3" s="510" t="s">
        <v>18</v>
      </c>
      <c r="F3" s="510" t="s">
        <v>14</v>
      </c>
      <c r="G3" s="511" t="s">
        <v>19</v>
      </c>
      <c r="H3" s="512"/>
      <c r="I3" s="512"/>
      <c r="J3" s="512"/>
      <c r="K3" s="513" t="s">
        <v>877</v>
      </c>
    </row>
    <row r="4" spans="1:11" ht="25" x14ac:dyDescent="0.35">
      <c r="A4" s="509" t="s">
        <v>10</v>
      </c>
      <c r="B4" s="503" t="s">
        <v>731</v>
      </c>
      <c r="C4" s="510" t="s">
        <v>11</v>
      </c>
      <c r="D4" s="509" t="s">
        <v>21</v>
      </c>
      <c r="E4" s="510" t="s">
        <v>22</v>
      </c>
      <c r="F4" s="510" t="s">
        <v>14</v>
      </c>
      <c r="G4" s="511" t="s">
        <v>876</v>
      </c>
      <c r="H4" s="514"/>
      <c r="I4" s="514"/>
      <c r="J4" s="514"/>
      <c r="K4" s="513" t="s">
        <v>24</v>
      </c>
    </row>
    <row r="5" spans="1:11" ht="25" x14ac:dyDescent="0.35">
      <c r="A5" s="509" t="s">
        <v>10</v>
      </c>
      <c r="B5" s="503" t="s">
        <v>731</v>
      </c>
      <c r="C5" s="510" t="s">
        <v>11</v>
      </c>
      <c r="D5" s="509" t="s">
        <v>25</v>
      </c>
      <c r="E5" s="510" t="s">
        <v>26</v>
      </c>
      <c r="F5" s="510" t="s">
        <v>14</v>
      </c>
      <c r="G5" s="511" t="s">
        <v>876</v>
      </c>
      <c r="H5" s="514"/>
      <c r="I5" s="514"/>
      <c r="J5" s="514"/>
      <c r="K5" s="513"/>
    </row>
    <row r="6" spans="1:11" x14ac:dyDescent="0.35">
      <c r="A6" s="509" t="s">
        <v>10</v>
      </c>
      <c r="B6" s="503" t="s">
        <v>731</v>
      </c>
      <c r="C6" s="510" t="s">
        <v>11</v>
      </c>
      <c r="D6" s="509" t="s">
        <v>27</v>
      </c>
      <c r="E6" s="510" t="s">
        <v>28</v>
      </c>
      <c r="F6" s="510" t="s">
        <v>14</v>
      </c>
      <c r="G6" s="511" t="s">
        <v>19</v>
      </c>
      <c r="H6" s="512"/>
      <c r="I6" s="512"/>
      <c r="J6" s="512"/>
      <c r="K6" s="513" t="s">
        <v>29</v>
      </c>
    </row>
    <row r="7" spans="1:11" ht="62.5" x14ac:dyDescent="0.35">
      <c r="A7" s="509" t="s">
        <v>10</v>
      </c>
      <c r="B7" s="503" t="s">
        <v>731</v>
      </c>
      <c r="C7" s="510" t="s">
        <v>11</v>
      </c>
      <c r="D7" s="509" t="s">
        <v>30</v>
      </c>
      <c r="E7" s="510" t="s">
        <v>31</v>
      </c>
      <c r="F7" s="510" t="s">
        <v>14</v>
      </c>
      <c r="G7" s="511" t="s">
        <v>32</v>
      </c>
      <c r="H7" s="512"/>
      <c r="I7" s="512"/>
      <c r="J7" s="512"/>
      <c r="K7" s="513" t="s">
        <v>33</v>
      </c>
    </row>
    <row r="8" spans="1:11" x14ac:dyDescent="0.35">
      <c r="A8" s="889" t="s">
        <v>10</v>
      </c>
      <c r="B8" s="889" t="s">
        <v>731</v>
      </c>
      <c r="C8" s="892" t="s">
        <v>11</v>
      </c>
      <c r="D8" s="889" t="s">
        <v>34</v>
      </c>
      <c r="E8" s="892" t="s">
        <v>35</v>
      </c>
      <c r="F8" s="892" t="s">
        <v>14</v>
      </c>
      <c r="G8" s="895" t="s">
        <v>875</v>
      </c>
      <c r="H8" s="886"/>
      <c r="I8" s="886"/>
      <c r="J8" s="515"/>
      <c r="K8" s="516" t="s">
        <v>874</v>
      </c>
    </row>
    <row r="9" spans="1:11" ht="25.5" x14ac:dyDescent="0.35">
      <c r="A9" s="890"/>
      <c r="B9" s="890"/>
      <c r="C9" s="893"/>
      <c r="D9" s="890"/>
      <c r="E9" s="893"/>
      <c r="F9" s="893"/>
      <c r="G9" s="896"/>
      <c r="H9" s="887"/>
      <c r="I9" s="887"/>
      <c r="J9" s="517"/>
      <c r="K9" s="518" t="s">
        <v>873</v>
      </c>
    </row>
    <row r="10" spans="1:11" ht="15" customHeight="1" x14ac:dyDescent="0.35">
      <c r="A10" s="890"/>
      <c r="B10" s="890"/>
      <c r="C10" s="893"/>
      <c r="D10" s="890"/>
      <c r="E10" s="893"/>
      <c r="F10" s="893"/>
      <c r="G10" s="896"/>
      <c r="H10" s="887"/>
      <c r="I10" s="887"/>
      <c r="J10" s="517"/>
      <c r="K10" s="518" t="s">
        <v>872</v>
      </c>
    </row>
    <row r="11" spans="1:11" ht="14.25" customHeight="1" x14ac:dyDescent="0.35">
      <c r="A11" s="890"/>
      <c r="B11" s="890"/>
      <c r="C11" s="893"/>
      <c r="D11" s="890"/>
      <c r="E11" s="893"/>
      <c r="F11" s="893"/>
      <c r="G11" s="896"/>
      <c r="H11" s="887"/>
      <c r="I11" s="887"/>
      <c r="J11" s="517"/>
      <c r="K11" s="518" t="s">
        <v>871</v>
      </c>
    </row>
    <row r="12" spans="1:11" ht="30" customHeight="1" x14ac:dyDescent="0.35">
      <c r="A12" s="891"/>
      <c r="B12" s="891"/>
      <c r="C12" s="894"/>
      <c r="D12" s="891"/>
      <c r="E12" s="894"/>
      <c r="F12" s="894"/>
      <c r="G12" s="897"/>
      <c r="H12" s="888"/>
      <c r="I12" s="888"/>
      <c r="J12" s="519"/>
      <c r="K12" s="507" t="s">
        <v>870</v>
      </c>
    </row>
    <row r="13" spans="1:11" ht="25" x14ac:dyDescent="0.35">
      <c r="A13" s="509" t="s">
        <v>10</v>
      </c>
      <c r="B13" s="503" t="s">
        <v>731</v>
      </c>
      <c r="C13" s="510" t="s">
        <v>11</v>
      </c>
      <c r="D13" s="509" t="s">
        <v>42</v>
      </c>
      <c r="E13" s="510" t="s">
        <v>43</v>
      </c>
      <c r="F13" s="510" t="s">
        <v>14</v>
      </c>
      <c r="G13" s="511" t="s">
        <v>44</v>
      </c>
      <c r="H13" s="512"/>
      <c r="I13" s="512"/>
      <c r="J13" s="512"/>
      <c r="K13" s="513" t="s">
        <v>45</v>
      </c>
    </row>
    <row r="14" spans="1:11" ht="25" x14ac:dyDescent="0.35">
      <c r="A14" s="509" t="s">
        <v>10</v>
      </c>
      <c r="B14" s="503" t="s">
        <v>731</v>
      </c>
      <c r="C14" s="510" t="s">
        <v>11</v>
      </c>
      <c r="D14" s="509" t="s">
        <v>46</v>
      </c>
      <c r="E14" s="510" t="s">
        <v>47</v>
      </c>
      <c r="F14" s="510" t="s">
        <v>14</v>
      </c>
      <c r="G14" s="511" t="s">
        <v>869</v>
      </c>
      <c r="H14" s="514"/>
      <c r="I14" s="514"/>
      <c r="J14" s="514"/>
      <c r="K14" s="513"/>
    </row>
    <row r="15" spans="1:11" s="520" customFormat="1" ht="37.5" x14ac:dyDescent="0.35">
      <c r="A15" s="509" t="s">
        <v>10</v>
      </c>
      <c r="B15" s="503" t="s">
        <v>731</v>
      </c>
      <c r="C15" s="510" t="s">
        <v>11</v>
      </c>
      <c r="D15" s="509" t="s">
        <v>49</v>
      </c>
      <c r="E15" s="510" t="s">
        <v>50</v>
      </c>
      <c r="F15" s="510" t="s">
        <v>14</v>
      </c>
      <c r="G15" s="511" t="s">
        <v>868</v>
      </c>
      <c r="H15" s="512"/>
      <c r="I15" s="512"/>
      <c r="J15" s="512"/>
      <c r="K15" s="513"/>
    </row>
    <row r="16" spans="1:11" ht="50" x14ac:dyDescent="0.35">
      <c r="A16" s="509" t="s">
        <v>10</v>
      </c>
      <c r="B16" s="503" t="s">
        <v>731</v>
      </c>
      <c r="C16" s="510" t="s">
        <v>11</v>
      </c>
      <c r="D16" s="509" t="s">
        <v>52</v>
      </c>
      <c r="E16" s="510" t="s">
        <v>53</v>
      </c>
      <c r="F16" s="510" t="s">
        <v>14</v>
      </c>
      <c r="G16" s="511" t="s">
        <v>54</v>
      </c>
      <c r="H16" s="512"/>
      <c r="I16" s="512">
        <v>7</v>
      </c>
      <c r="J16" s="512"/>
      <c r="K16" s="513" t="s">
        <v>55</v>
      </c>
    </row>
    <row r="17" spans="1:11" ht="25" x14ac:dyDescent="0.35">
      <c r="A17" s="509" t="s">
        <v>10</v>
      </c>
      <c r="B17" s="503" t="s">
        <v>731</v>
      </c>
      <c r="C17" s="510" t="s">
        <v>11</v>
      </c>
      <c r="D17" s="509" t="s">
        <v>56</v>
      </c>
      <c r="E17" s="510" t="s">
        <v>57</v>
      </c>
      <c r="F17" s="510" t="s">
        <v>14</v>
      </c>
      <c r="G17" s="511" t="s">
        <v>867</v>
      </c>
      <c r="H17" s="512"/>
      <c r="I17" s="512"/>
      <c r="J17" s="512"/>
      <c r="K17" s="513"/>
    </row>
    <row r="18" spans="1:11" ht="100" x14ac:dyDescent="0.35">
      <c r="A18" s="509" t="s">
        <v>10</v>
      </c>
      <c r="B18" s="503" t="s">
        <v>731</v>
      </c>
      <c r="C18" s="510" t="s">
        <v>11</v>
      </c>
      <c r="D18" s="509" t="s">
        <v>58</v>
      </c>
      <c r="E18" s="510" t="s">
        <v>59</v>
      </c>
      <c r="F18" s="510" t="s">
        <v>14</v>
      </c>
      <c r="G18" s="511" t="s">
        <v>867</v>
      </c>
      <c r="H18" s="512"/>
      <c r="I18" s="512"/>
      <c r="J18" s="512"/>
      <c r="K18" s="521" t="s">
        <v>866</v>
      </c>
    </row>
    <row r="19" spans="1:11" ht="25" x14ac:dyDescent="0.35">
      <c r="A19" s="509" t="s">
        <v>10</v>
      </c>
      <c r="B19" s="503" t="s">
        <v>731</v>
      </c>
      <c r="C19" s="510" t="s">
        <v>11</v>
      </c>
      <c r="D19" s="509" t="s">
        <v>60</v>
      </c>
      <c r="E19" s="510" t="s">
        <v>61</v>
      </c>
      <c r="F19" s="510" t="s">
        <v>14</v>
      </c>
      <c r="G19" s="511" t="s">
        <v>865</v>
      </c>
      <c r="H19" s="512">
        <v>2</v>
      </c>
      <c r="I19" s="512"/>
      <c r="J19" s="512"/>
      <c r="K19" s="513"/>
    </row>
    <row r="20" spans="1:11" s="520" customFormat="1" x14ac:dyDescent="0.35">
      <c r="A20" s="509" t="s">
        <v>10</v>
      </c>
      <c r="B20" s="503" t="s">
        <v>731</v>
      </c>
      <c r="C20" s="510" t="s">
        <v>11</v>
      </c>
      <c r="D20" s="509" t="s">
        <v>63</v>
      </c>
      <c r="E20" s="510" t="s">
        <v>64</v>
      </c>
      <c r="F20" s="510" t="s">
        <v>14</v>
      </c>
      <c r="G20" s="511" t="s">
        <v>864</v>
      </c>
      <c r="H20" s="512">
        <v>2</v>
      </c>
      <c r="I20" s="512"/>
      <c r="J20" s="512"/>
      <c r="K20" s="513"/>
    </row>
    <row r="21" spans="1:11" s="520" customFormat="1" ht="25" x14ac:dyDescent="0.35">
      <c r="A21" s="509" t="s">
        <v>10</v>
      </c>
      <c r="B21" s="503" t="s">
        <v>731</v>
      </c>
      <c r="C21" s="510" t="s">
        <v>11</v>
      </c>
      <c r="D21" s="509" t="s">
        <v>66</v>
      </c>
      <c r="E21" s="510" t="s">
        <v>67</v>
      </c>
      <c r="F21" s="510" t="s">
        <v>14</v>
      </c>
      <c r="G21" s="511" t="s">
        <v>863</v>
      </c>
      <c r="H21" s="512">
        <v>2</v>
      </c>
      <c r="I21" s="512"/>
      <c r="J21" s="512">
        <f>16</f>
        <v>16</v>
      </c>
      <c r="K21" s="513"/>
    </row>
    <row r="22" spans="1:11" s="520" customFormat="1" ht="25" x14ac:dyDescent="0.35">
      <c r="A22" s="509" t="s">
        <v>10</v>
      </c>
      <c r="B22" s="503" t="s">
        <v>731</v>
      </c>
      <c r="C22" s="510" t="s">
        <v>11</v>
      </c>
      <c r="D22" s="509" t="s">
        <v>69</v>
      </c>
      <c r="E22" s="510" t="s">
        <v>70</v>
      </c>
      <c r="F22" s="510" t="s">
        <v>14</v>
      </c>
      <c r="G22" s="511" t="s">
        <v>862</v>
      </c>
      <c r="H22" s="512"/>
      <c r="I22" s="512"/>
      <c r="J22" s="512"/>
      <c r="K22" s="513"/>
    </row>
    <row r="23" spans="1:11" s="520" customFormat="1" x14ac:dyDescent="0.35">
      <c r="A23" s="509" t="s">
        <v>10</v>
      </c>
      <c r="B23" s="503" t="s">
        <v>731</v>
      </c>
      <c r="C23" s="510" t="s">
        <v>11</v>
      </c>
      <c r="D23" s="509" t="s">
        <v>72</v>
      </c>
      <c r="E23" s="510" t="s">
        <v>73</v>
      </c>
      <c r="F23" s="510" t="s">
        <v>14</v>
      </c>
      <c r="G23" s="511" t="s">
        <v>861</v>
      </c>
      <c r="H23" s="512">
        <v>2</v>
      </c>
      <c r="I23" s="512"/>
      <c r="J23" s="512"/>
      <c r="K23" s="513"/>
    </row>
    <row r="24" spans="1:11" s="520" customFormat="1" x14ac:dyDescent="0.35">
      <c r="A24" s="509"/>
      <c r="B24" s="503" t="s">
        <v>731</v>
      </c>
      <c r="C24" s="510" t="s">
        <v>11</v>
      </c>
      <c r="D24" s="509" t="s">
        <v>75</v>
      </c>
      <c r="E24" s="510" t="s">
        <v>76</v>
      </c>
      <c r="F24" s="510"/>
      <c r="G24" s="511" t="s">
        <v>861</v>
      </c>
      <c r="H24" s="512">
        <v>2</v>
      </c>
      <c r="I24" s="512"/>
      <c r="J24" s="512"/>
      <c r="K24" s="513"/>
    </row>
    <row r="25" spans="1:11" s="520" customFormat="1" ht="37.5" x14ac:dyDescent="0.35">
      <c r="A25" s="509"/>
      <c r="B25" s="503" t="s">
        <v>731</v>
      </c>
      <c r="C25" s="510" t="s">
        <v>11</v>
      </c>
      <c r="D25" s="509" t="s">
        <v>77</v>
      </c>
      <c r="E25" s="510" t="s">
        <v>78</v>
      </c>
      <c r="F25" s="510"/>
      <c r="G25" s="511" t="s">
        <v>861</v>
      </c>
      <c r="H25" s="512"/>
      <c r="I25" s="512"/>
      <c r="J25" s="512"/>
      <c r="K25" s="513"/>
    </row>
    <row r="26" spans="1:11" s="520" customFormat="1" ht="25" x14ac:dyDescent="0.35">
      <c r="A26" s="509"/>
      <c r="B26" s="503" t="s">
        <v>731</v>
      </c>
      <c r="C26" s="510" t="s">
        <v>11</v>
      </c>
      <c r="D26" s="509" t="s">
        <v>79</v>
      </c>
      <c r="E26" s="510" t="s">
        <v>80</v>
      </c>
      <c r="F26" s="510"/>
      <c r="G26" s="511" t="s">
        <v>860</v>
      </c>
      <c r="H26" s="512">
        <v>10</v>
      </c>
      <c r="I26" s="512"/>
      <c r="J26" s="512"/>
      <c r="K26" s="513"/>
    </row>
    <row r="27" spans="1:11" ht="25" x14ac:dyDescent="0.35">
      <c r="A27" s="509"/>
      <c r="B27" s="503" t="s">
        <v>731</v>
      </c>
      <c r="C27" s="510" t="s">
        <v>11</v>
      </c>
      <c r="D27" s="509" t="s">
        <v>82</v>
      </c>
      <c r="E27" s="510" t="s">
        <v>83</v>
      </c>
      <c r="F27" s="510" t="s">
        <v>14</v>
      </c>
      <c r="G27" s="511" t="s">
        <v>857</v>
      </c>
      <c r="H27" s="512"/>
      <c r="I27" s="512"/>
      <c r="J27" s="512"/>
      <c r="K27" s="513"/>
    </row>
    <row r="28" spans="1:11" x14ac:dyDescent="0.35">
      <c r="A28" s="509"/>
      <c r="B28" s="503" t="s">
        <v>731</v>
      </c>
      <c r="C28" s="510" t="s">
        <v>11</v>
      </c>
      <c r="D28" s="509" t="s">
        <v>85</v>
      </c>
      <c r="E28" s="510" t="s">
        <v>86</v>
      </c>
      <c r="F28" s="510" t="s">
        <v>14</v>
      </c>
      <c r="G28" s="511" t="s">
        <v>857</v>
      </c>
      <c r="H28" s="512"/>
      <c r="I28" s="512"/>
      <c r="J28" s="512"/>
      <c r="K28" s="513"/>
    </row>
    <row r="29" spans="1:11" ht="25" x14ac:dyDescent="0.35">
      <c r="A29" s="509"/>
      <c r="B29" s="503" t="s">
        <v>731</v>
      </c>
      <c r="C29" s="510" t="s">
        <v>11</v>
      </c>
      <c r="D29" s="509" t="s">
        <v>87</v>
      </c>
      <c r="E29" s="510" t="s">
        <v>88</v>
      </c>
      <c r="F29" s="510" t="s">
        <v>14</v>
      </c>
      <c r="G29" s="511" t="s">
        <v>859</v>
      </c>
      <c r="H29" s="512"/>
      <c r="I29" s="512"/>
      <c r="J29" s="512"/>
      <c r="K29" s="513"/>
    </row>
    <row r="30" spans="1:11" x14ac:dyDescent="0.35">
      <c r="A30" s="509"/>
      <c r="B30" s="503" t="s">
        <v>731</v>
      </c>
      <c r="C30" s="510" t="s">
        <v>11</v>
      </c>
      <c r="D30" s="509" t="s">
        <v>89</v>
      </c>
      <c r="E30" s="510" t="s">
        <v>90</v>
      </c>
      <c r="F30" s="510" t="s">
        <v>14</v>
      </c>
      <c r="G30" s="511" t="s">
        <v>857</v>
      </c>
      <c r="H30" s="512"/>
      <c r="I30" s="512"/>
      <c r="J30" s="512"/>
      <c r="K30" s="513"/>
    </row>
    <row r="31" spans="1:11" ht="37.5" x14ac:dyDescent="0.35">
      <c r="A31" s="509"/>
      <c r="B31" s="503" t="s">
        <v>731</v>
      </c>
      <c r="C31" s="510" t="s">
        <v>11</v>
      </c>
      <c r="D31" s="509" t="s">
        <v>91</v>
      </c>
      <c r="E31" s="510" t="s">
        <v>92</v>
      </c>
      <c r="F31" s="510" t="s">
        <v>14</v>
      </c>
      <c r="G31" s="511" t="s">
        <v>858</v>
      </c>
      <c r="H31" s="512"/>
      <c r="I31" s="512"/>
      <c r="J31" s="512"/>
      <c r="K31" s="513"/>
    </row>
    <row r="32" spans="1:11" ht="37.5" x14ac:dyDescent="0.35">
      <c r="A32" s="509"/>
      <c r="B32" s="503" t="s">
        <v>731</v>
      </c>
      <c r="C32" s="510" t="s">
        <v>11</v>
      </c>
      <c r="D32" s="509" t="s">
        <v>94</v>
      </c>
      <c r="E32" s="510" t="s">
        <v>95</v>
      </c>
      <c r="F32" s="510" t="s">
        <v>14</v>
      </c>
      <c r="G32" s="511" t="s">
        <v>858</v>
      </c>
      <c r="H32" s="512"/>
      <c r="I32" s="512"/>
      <c r="J32" s="512"/>
      <c r="K32" s="513"/>
    </row>
    <row r="33" spans="1:11" ht="25" x14ac:dyDescent="0.35">
      <c r="A33" s="509"/>
      <c r="B33" s="503" t="s">
        <v>731</v>
      </c>
      <c r="C33" s="510" t="s">
        <v>11</v>
      </c>
      <c r="D33" s="509" t="s">
        <v>96</v>
      </c>
      <c r="E33" s="510" t="s">
        <v>97</v>
      </c>
      <c r="F33" s="510" t="s">
        <v>14</v>
      </c>
      <c r="G33" s="511" t="s">
        <v>857</v>
      </c>
      <c r="H33" s="512"/>
      <c r="I33" s="512"/>
      <c r="J33" s="512"/>
      <c r="K33" s="513"/>
    </row>
    <row r="34" spans="1:11" s="520" customFormat="1" x14ac:dyDescent="0.35">
      <c r="A34" s="509" t="s">
        <v>10</v>
      </c>
      <c r="B34" s="503" t="s">
        <v>731</v>
      </c>
      <c r="C34" s="510" t="s">
        <v>11</v>
      </c>
      <c r="D34" s="509" t="s">
        <v>98</v>
      </c>
      <c r="E34" s="510" t="s">
        <v>99</v>
      </c>
      <c r="F34" s="510" t="s">
        <v>14</v>
      </c>
      <c r="G34" s="511" t="s">
        <v>856</v>
      </c>
      <c r="H34" s="512"/>
      <c r="I34" s="512"/>
      <c r="J34" s="512"/>
      <c r="K34" s="513"/>
    </row>
    <row r="35" spans="1:11" s="520" customFormat="1" ht="25" x14ac:dyDescent="0.35">
      <c r="A35" s="509" t="s">
        <v>10</v>
      </c>
      <c r="B35" s="503" t="s">
        <v>731</v>
      </c>
      <c r="C35" s="510" t="s">
        <v>11</v>
      </c>
      <c r="D35" s="509" t="s">
        <v>100</v>
      </c>
      <c r="E35" s="510" t="s">
        <v>101</v>
      </c>
      <c r="F35" s="510" t="s">
        <v>14</v>
      </c>
      <c r="G35" s="511" t="s">
        <v>762</v>
      </c>
      <c r="H35" s="512"/>
      <c r="I35" s="512"/>
      <c r="J35" s="512"/>
      <c r="K35" s="513"/>
    </row>
    <row r="36" spans="1:11" s="520" customFormat="1" x14ac:dyDescent="0.35">
      <c r="A36" s="509" t="s">
        <v>10</v>
      </c>
      <c r="B36" s="503" t="s">
        <v>731</v>
      </c>
      <c r="C36" s="510" t="s">
        <v>11</v>
      </c>
      <c r="D36" s="509" t="s">
        <v>103</v>
      </c>
      <c r="E36" s="510" t="s">
        <v>104</v>
      </c>
      <c r="F36" s="510" t="s">
        <v>14</v>
      </c>
      <c r="G36" s="511" t="s">
        <v>856</v>
      </c>
      <c r="H36" s="512"/>
      <c r="I36" s="512"/>
      <c r="J36" s="512"/>
      <c r="K36" s="513"/>
    </row>
    <row r="37" spans="1:11" s="520" customFormat="1" x14ac:dyDescent="0.35">
      <c r="A37" s="509" t="s">
        <v>10</v>
      </c>
      <c r="B37" s="503" t="s">
        <v>731</v>
      </c>
      <c r="C37" s="510" t="s">
        <v>11</v>
      </c>
      <c r="D37" s="509" t="s">
        <v>105</v>
      </c>
      <c r="E37" s="510" t="s">
        <v>106</v>
      </c>
      <c r="F37" s="510" t="s">
        <v>14</v>
      </c>
      <c r="G37" s="511" t="s">
        <v>856</v>
      </c>
      <c r="H37" s="512"/>
      <c r="I37" s="512"/>
      <c r="J37" s="512"/>
      <c r="K37" s="513"/>
    </row>
    <row r="38" spans="1:11" s="520" customFormat="1" x14ac:dyDescent="0.35">
      <c r="A38" s="509" t="s">
        <v>10</v>
      </c>
      <c r="B38" s="503" t="s">
        <v>731</v>
      </c>
      <c r="C38" s="510" t="s">
        <v>11</v>
      </c>
      <c r="D38" s="509" t="s">
        <v>107</v>
      </c>
      <c r="E38" s="510" t="s">
        <v>108</v>
      </c>
      <c r="F38" s="510" t="s">
        <v>14</v>
      </c>
      <c r="G38" s="511" t="s">
        <v>856</v>
      </c>
      <c r="H38" s="512"/>
      <c r="I38" s="512"/>
      <c r="J38" s="512"/>
      <c r="K38" s="513"/>
    </row>
    <row r="39" spans="1:11" s="520" customFormat="1" ht="25" x14ac:dyDescent="0.35">
      <c r="A39" s="509" t="s">
        <v>10</v>
      </c>
      <c r="B39" s="503" t="s">
        <v>731</v>
      </c>
      <c r="C39" s="510" t="s">
        <v>11</v>
      </c>
      <c r="D39" s="509" t="s">
        <v>109</v>
      </c>
      <c r="E39" s="510" t="s">
        <v>110</v>
      </c>
      <c r="F39" s="510" t="s">
        <v>14</v>
      </c>
      <c r="G39" s="511" t="s">
        <v>851</v>
      </c>
      <c r="H39" s="512"/>
      <c r="I39" s="512"/>
      <c r="J39" s="512"/>
      <c r="K39" s="513"/>
    </row>
    <row r="40" spans="1:11" s="520" customFormat="1" ht="25" x14ac:dyDescent="0.35">
      <c r="A40" s="509" t="s">
        <v>10</v>
      </c>
      <c r="B40" s="503" t="s">
        <v>731</v>
      </c>
      <c r="C40" s="510" t="s">
        <v>11</v>
      </c>
      <c r="D40" s="509" t="s">
        <v>111</v>
      </c>
      <c r="E40" s="510" t="s">
        <v>112</v>
      </c>
      <c r="F40" s="510" t="s">
        <v>14</v>
      </c>
      <c r="G40" s="511" t="s">
        <v>855</v>
      </c>
      <c r="H40" s="512"/>
      <c r="I40" s="512"/>
      <c r="J40" s="512"/>
      <c r="K40" s="513"/>
    </row>
    <row r="41" spans="1:11" s="520" customFormat="1" x14ac:dyDescent="0.35">
      <c r="A41" s="509" t="s">
        <v>10</v>
      </c>
      <c r="B41" s="503" t="s">
        <v>731</v>
      </c>
      <c r="C41" s="510" t="s">
        <v>11</v>
      </c>
      <c r="D41" s="509" t="s">
        <v>114</v>
      </c>
      <c r="E41" s="510" t="s">
        <v>115</v>
      </c>
      <c r="F41" s="510" t="s">
        <v>14</v>
      </c>
      <c r="G41" s="511" t="s">
        <v>855</v>
      </c>
      <c r="H41" s="512"/>
      <c r="I41" s="512"/>
      <c r="J41" s="512"/>
      <c r="K41" s="513"/>
    </row>
    <row r="42" spans="1:11" ht="37.5" x14ac:dyDescent="0.35">
      <c r="A42" s="509" t="s">
        <v>10</v>
      </c>
      <c r="B42" s="503" t="s">
        <v>731</v>
      </c>
      <c r="C42" s="510" t="s">
        <v>11</v>
      </c>
      <c r="D42" s="509" t="s">
        <v>116</v>
      </c>
      <c r="E42" s="510" t="s">
        <v>117</v>
      </c>
      <c r="F42" s="510" t="s">
        <v>14</v>
      </c>
      <c r="G42" s="511" t="s">
        <v>54</v>
      </c>
      <c r="H42" s="512"/>
      <c r="I42" s="512"/>
      <c r="J42" s="512"/>
      <c r="K42" s="513" t="s">
        <v>854</v>
      </c>
    </row>
    <row r="43" spans="1:11" x14ac:dyDescent="0.35">
      <c r="A43" s="509" t="s">
        <v>10</v>
      </c>
      <c r="B43" s="503" t="s">
        <v>731</v>
      </c>
      <c r="C43" s="510" t="s">
        <v>11</v>
      </c>
      <c r="D43" s="509" t="s">
        <v>119</v>
      </c>
      <c r="E43" s="510" t="s">
        <v>120</v>
      </c>
      <c r="F43" s="510" t="s">
        <v>14</v>
      </c>
      <c r="G43" s="511" t="s">
        <v>851</v>
      </c>
      <c r="H43" s="512"/>
      <c r="I43" s="512"/>
      <c r="J43" s="512"/>
      <c r="K43" s="513"/>
    </row>
    <row r="44" spans="1:11" x14ac:dyDescent="0.35">
      <c r="A44" s="509" t="s">
        <v>10</v>
      </c>
      <c r="B44" s="503" t="s">
        <v>731</v>
      </c>
      <c r="C44" s="510" t="s">
        <v>11</v>
      </c>
      <c r="D44" s="509" t="s">
        <v>121</v>
      </c>
      <c r="E44" s="510" t="s">
        <v>122</v>
      </c>
      <c r="F44" s="510" t="s">
        <v>14</v>
      </c>
      <c r="G44" s="511" t="s">
        <v>851</v>
      </c>
      <c r="H44" s="512"/>
      <c r="I44" s="512"/>
      <c r="J44" s="512"/>
      <c r="K44" s="513" t="s">
        <v>853</v>
      </c>
    </row>
    <row r="45" spans="1:11" x14ac:dyDescent="0.35">
      <c r="A45" s="509" t="s">
        <v>10</v>
      </c>
      <c r="B45" s="503" t="s">
        <v>731</v>
      </c>
      <c r="C45" s="510" t="s">
        <v>11</v>
      </c>
      <c r="D45" s="509" t="s">
        <v>123</v>
      </c>
      <c r="E45" s="510" t="s">
        <v>124</v>
      </c>
      <c r="F45" s="510" t="s">
        <v>14</v>
      </c>
      <c r="G45" s="511" t="s">
        <v>851</v>
      </c>
      <c r="H45" s="512"/>
      <c r="I45" s="512"/>
      <c r="J45" s="512"/>
      <c r="K45" s="513"/>
    </row>
    <row r="46" spans="1:11" s="520" customFormat="1" x14ac:dyDescent="0.35">
      <c r="A46" s="509" t="s">
        <v>10</v>
      </c>
      <c r="B46" s="503" t="s">
        <v>731</v>
      </c>
      <c r="C46" s="510" t="s">
        <v>11</v>
      </c>
      <c r="D46" s="509" t="s">
        <v>125</v>
      </c>
      <c r="E46" s="510" t="s">
        <v>126</v>
      </c>
      <c r="F46" s="510" t="s">
        <v>14</v>
      </c>
      <c r="G46" s="511" t="s">
        <v>851</v>
      </c>
      <c r="H46" s="512"/>
      <c r="I46" s="512"/>
      <c r="J46" s="512"/>
      <c r="K46" s="521" t="s">
        <v>852</v>
      </c>
    </row>
    <row r="47" spans="1:11" s="520" customFormat="1" ht="25" x14ac:dyDescent="0.35">
      <c r="A47" s="509" t="s">
        <v>10</v>
      </c>
      <c r="B47" s="503" t="s">
        <v>731</v>
      </c>
      <c r="C47" s="510" t="s">
        <v>11</v>
      </c>
      <c r="D47" s="509" t="s">
        <v>128</v>
      </c>
      <c r="E47" s="510" t="s">
        <v>129</v>
      </c>
      <c r="F47" s="510" t="s">
        <v>14</v>
      </c>
      <c r="G47" s="511" t="s">
        <v>54</v>
      </c>
      <c r="H47" s="512"/>
      <c r="I47" s="512"/>
      <c r="J47" s="512"/>
      <c r="K47" s="513" t="s">
        <v>130</v>
      </c>
    </row>
    <row r="48" spans="1:11" ht="25" x14ac:dyDescent="0.35">
      <c r="A48" s="509" t="s">
        <v>10</v>
      </c>
      <c r="B48" s="503" t="s">
        <v>731</v>
      </c>
      <c r="C48" s="510" t="s">
        <v>11</v>
      </c>
      <c r="D48" s="509" t="s">
        <v>131</v>
      </c>
      <c r="E48" s="510" t="s">
        <v>132</v>
      </c>
      <c r="F48" s="510" t="s">
        <v>14</v>
      </c>
      <c r="G48" s="511" t="s">
        <v>851</v>
      </c>
      <c r="H48" s="512"/>
      <c r="I48" s="512"/>
      <c r="J48" s="512"/>
      <c r="K48" s="521" t="s">
        <v>133</v>
      </c>
    </row>
    <row r="49" spans="1:11" s="520" customFormat="1" x14ac:dyDescent="0.35">
      <c r="A49" s="509" t="s">
        <v>10</v>
      </c>
      <c r="B49" s="503" t="s">
        <v>731</v>
      </c>
      <c r="C49" s="510" t="s">
        <v>11</v>
      </c>
      <c r="D49" s="509" t="s">
        <v>134</v>
      </c>
      <c r="E49" s="510" t="s">
        <v>54</v>
      </c>
      <c r="F49" s="510" t="s">
        <v>14</v>
      </c>
      <c r="G49" s="511" t="s">
        <v>54</v>
      </c>
      <c r="H49" s="512"/>
      <c r="I49" s="512"/>
      <c r="J49" s="512"/>
      <c r="K49" s="521"/>
    </row>
    <row r="50" spans="1:11" s="520" customFormat="1" ht="25" x14ac:dyDescent="0.35">
      <c r="A50" s="509" t="s">
        <v>10</v>
      </c>
      <c r="B50" s="503" t="s">
        <v>731</v>
      </c>
      <c r="C50" s="510" t="s">
        <v>11</v>
      </c>
      <c r="D50" s="509" t="s">
        <v>135</v>
      </c>
      <c r="E50" s="510" t="s">
        <v>136</v>
      </c>
      <c r="F50" s="510" t="s">
        <v>14</v>
      </c>
      <c r="G50" s="511" t="s">
        <v>137</v>
      </c>
      <c r="H50" s="512"/>
      <c r="I50" s="512"/>
      <c r="J50" s="512"/>
      <c r="K50" s="521" t="s">
        <v>850</v>
      </c>
    </row>
    <row r="51" spans="1:11" s="520" customFormat="1" ht="25" x14ac:dyDescent="0.35">
      <c r="A51" s="509" t="s">
        <v>138</v>
      </c>
      <c r="B51" s="503" t="s">
        <v>731</v>
      </c>
      <c r="C51" s="510" t="s">
        <v>139</v>
      </c>
      <c r="D51" s="509" t="s">
        <v>140</v>
      </c>
      <c r="E51" s="511"/>
      <c r="F51" s="522" t="s">
        <v>14</v>
      </c>
      <c r="G51" s="511" t="s">
        <v>741</v>
      </c>
      <c r="H51" s="512">
        <v>1</v>
      </c>
      <c r="I51" s="512" t="s">
        <v>142</v>
      </c>
      <c r="J51" s="512"/>
      <c r="K51" s="513"/>
    </row>
    <row r="52" spans="1:11" s="520" customFormat="1" ht="25" x14ac:dyDescent="0.25">
      <c r="A52" s="509" t="s">
        <v>138</v>
      </c>
      <c r="B52" s="503" t="s">
        <v>731</v>
      </c>
      <c r="C52" s="510" t="s">
        <v>139</v>
      </c>
      <c r="D52" s="509" t="s">
        <v>143</v>
      </c>
      <c r="E52" s="510" t="s">
        <v>849</v>
      </c>
      <c r="F52" s="522" t="s">
        <v>145</v>
      </c>
      <c r="G52" s="511" t="s">
        <v>741</v>
      </c>
      <c r="H52" s="512"/>
      <c r="I52" s="512"/>
      <c r="J52" s="523" t="s">
        <v>146</v>
      </c>
      <c r="K52" s="513" t="s">
        <v>45</v>
      </c>
    </row>
    <row r="53" spans="1:11" s="520" customFormat="1" ht="37.5" x14ac:dyDescent="0.25">
      <c r="A53" s="509" t="s">
        <v>138</v>
      </c>
      <c r="B53" s="503" t="s">
        <v>731</v>
      </c>
      <c r="C53" s="510" t="s">
        <v>139</v>
      </c>
      <c r="D53" s="509" t="s">
        <v>147</v>
      </c>
      <c r="E53" s="510" t="s">
        <v>148</v>
      </c>
      <c r="F53" s="522" t="s">
        <v>14</v>
      </c>
      <c r="G53" s="511" t="s">
        <v>798</v>
      </c>
      <c r="H53" s="512"/>
      <c r="I53" s="512"/>
      <c r="J53" s="523" t="s">
        <v>146</v>
      </c>
      <c r="K53" s="513"/>
    </row>
    <row r="54" spans="1:11" s="520" customFormat="1" ht="25" x14ac:dyDescent="0.25">
      <c r="A54" s="509" t="s">
        <v>138</v>
      </c>
      <c r="B54" s="503" t="s">
        <v>731</v>
      </c>
      <c r="C54" s="510" t="s">
        <v>139</v>
      </c>
      <c r="D54" s="509" t="s">
        <v>150</v>
      </c>
      <c r="E54" s="510" t="s">
        <v>151</v>
      </c>
      <c r="F54" s="522" t="s">
        <v>14</v>
      </c>
      <c r="G54" s="511" t="s">
        <v>848</v>
      </c>
      <c r="H54" s="512"/>
      <c r="I54" s="512"/>
      <c r="J54" s="524" t="s">
        <v>146</v>
      </c>
      <c r="K54" s="513"/>
    </row>
    <row r="55" spans="1:11" s="520" customFormat="1" ht="25" x14ac:dyDescent="0.35">
      <c r="A55" s="509" t="s">
        <v>138</v>
      </c>
      <c r="B55" s="503" t="s">
        <v>731</v>
      </c>
      <c r="C55" s="510" t="s">
        <v>153</v>
      </c>
      <c r="D55" s="509" t="s">
        <v>154</v>
      </c>
      <c r="E55" s="511"/>
      <c r="F55" s="522" t="s">
        <v>14</v>
      </c>
      <c r="G55" s="511" t="s">
        <v>741</v>
      </c>
      <c r="H55" s="512">
        <v>1</v>
      </c>
      <c r="I55" s="512" t="s">
        <v>142</v>
      </c>
      <c r="J55" s="512"/>
      <c r="K55" s="513"/>
    </row>
    <row r="56" spans="1:11" s="520" customFormat="1" ht="25" x14ac:dyDescent="0.35">
      <c r="A56" s="509" t="s">
        <v>138</v>
      </c>
      <c r="B56" s="503" t="s">
        <v>731</v>
      </c>
      <c r="C56" s="510" t="s">
        <v>153</v>
      </c>
      <c r="D56" s="509" t="s">
        <v>156</v>
      </c>
      <c r="E56" s="510" t="s">
        <v>157</v>
      </c>
      <c r="F56" s="522" t="s">
        <v>14</v>
      </c>
      <c r="G56" s="511" t="s">
        <v>734</v>
      </c>
      <c r="H56" s="512"/>
      <c r="I56" s="512"/>
      <c r="J56" s="512">
        <v>8</v>
      </c>
      <c r="K56" s="513" t="s">
        <v>45</v>
      </c>
    </row>
    <row r="57" spans="1:11" s="520" customFormat="1" ht="25" x14ac:dyDescent="0.35">
      <c r="A57" s="509" t="s">
        <v>138</v>
      </c>
      <c r="B57" s="503" t="s">
        <v>731</v>
      </c>
      <c r="C57" s="510" t="s">
        <v>158</v>
      </c>
      <c r="D57" s="509" t="s">
        <v>154</v>
      </c>
      <c r="E57" s="511"/>
      <c r="F57" s="522" t="s">
        <v>14</v>
      </c>
      <c r="G57" s="511" t="s">
        <v>741</v>
      </c>
      <c r="H57" s="512">
        <v>1</v>
      </c>
      <c r="I57" s="512"/>
      <c r="J57" s="512"/>
      <c r="K57" s="513"/>
    </row>
    <row r="58" spans="1:11" s="520" customFormat="1" ht="25" x14ac:dyDescent="0.35">
      <c r="A58" s="509" t="s">
        <v>138</v>
      </c>
      <c r="B58" s="503" t="s">
        <v>731</v>
      </c>
      <c r="C58" s="510" t="s">
        <v>158</v>
      </c>
      <c r="D58" s="509" t="s">
        <v>159</v>
      </c>
      <c r="E58" s="510" t="s">
        <v>160</v>
      </c>
      <c r="F58" s="522" t="s">
        <v>14</v>
      </c>
      <c r="G58" s="511" t="s">
        <v>738</v>
      </c>
      <c r="H58" s="512"/>
      <c r="I58" s="512"/>
      <c r="J58" s="512">
        <v>8</v>
      </c>
      <c r="K58" s="513" t="s">
        <v>45</v>
      </c>
    </row>
    <row r="59" spans="1:11" s="520" customFormat="1" ht="25" x14ac:dyDescent="0.35">
      <c r="A59" s="509" t="s">
        <v>138</v>
      </c>
      <c r="B59" s="503" t="s">
        <v>731</v>
      </c>
      <c r="C59" s="510" t="s">
        <v>161</v>
      </c>
      <c r="D59" s="509" t="s">
        <v>154</v>
      </c>
      <c r="E59" s="511"/>
      <c r="F59" s="522" t="s">
        <v>14</v>
      </c>
      <c r="G59" s="511" t="s">
        <v>840</v>
      </c>
      <c r="H59" s="512" t="s">
        <v>162</v>
      </c>
      <c r="I59" s="512">
        <v>10</v>
      </c>
      <c r="J59" s="512"/>
      <c r="K59" s="513"/>
    </row>
    <row r="60" spans="1:11" s="520" customFormat="1" ht="62.5" x14ac:dyDescent="0.35">
      <c r="A60" s="509" t="s">
        <v>138</v>
      </c>
      <c r="B60" s="503" t="s">
        <v>731</v>
      </c>
      <c r="C60" s="510" t="s">
        <v>161</v>
      </c>
      <c r="D60" s="509" t="s">
        <v>163</v>
      </c>
      <c r="E60" s="510" t="s">
        <v>164</v>
      </c>
      <c r="F60" s="522" t="s">
        <v>14</v>
      </c>
      <c r="G60" s="511" t="s">
        <v>847</v>
      </c>
      <c r="H60" s="512"/>
      <c r="I60" s="512"/>
      <c r="J60" s="512">
        <v>8</v>
      </c>
      <c r="K60" s="513" t="s">
        <v>846</v>
      </c>
    </row>
    <row r="61" spans="1:11" s="520" customFormat="1" ht="62.5" x14ac:dyDescent="0.35">
      <c r="A61" s="509" t="s">
        <v>138</v>
      </c>
      <c r="B61" s="503" t="s">
        <v>731</v>
      </c>
      <c r="C61" s="510" t="s">
        <v>161</v>
      </c>
      <c r="D61" s="509" t="s">
        <v>166</v>
      </c>
      <c r="E61" s="510" t="s">
        <v>845</v>
      </c>
      <c r="F61" s="522" t="s">
        <v>145</v>
      </c>
      <c r="G61" s="511" t="s">
        <v>844</v>
      </c>
      <c r="H61" s="512"/>
      <c r="I61" s="512"/>
      <c r="J61" s="512">
        <v>8</v>
      </c>
      <c r="K61" s="521" t="s">
        <v>843</v>
      </c>
    </row>
    <row r="62" spans="1:11" s="520" customFormat="1" ht="37.5" x14ac:dyDescent="0.35">
      <c r="A62" s="509" t="s">
        <v>138</v>
      </c>
      <c r="B62" s="503" t="s">
        <v>746</v>
      </c>
      <c r="C62" s="510" t="s">
        <v>839</v>
      </c>
      <c r="D62" s="509" t="s">
        <v>842</v>
      </c>
      <c r="E62" s="510" t="s">
        <v>841</v>
      </c>
      <c r="F62" s="522" t="s">
        <v>14</v>
      </c>
      <c r="G62" s="511" t="s">
        <v>840</v>
      </c>
      <c r="H62" s="512"/>
      <c r="I62" s="512"/>
      <c r="J62" s="512"/>
      <c r="K62" s="513"/>
    </row>
    <row r="63" spans="1:11" s="520" customFormat="1" ht="50" x14ac:dyDescent="0.35">
      <c r="A63" s="509"/>
      <c r="B63" s="503" t="s">
        <v>746</v>
      </c>
      <c r="C63" s="510" t="s">
        <v>839</v>
      </c>
      <c r="D63" s="509" t="s">
        <v>838</v>
      </c>
      <c r="E63" s="510" t="s">
        <v>837</v>
      </c>
      <c r="F63" s="522" t="s">
        <v>14</v>
      </c>
      <c r="G63" s="511" t="s">
        <v>836</v>
      </c>
      <c r="H63" s="512"/>
      <c r="I63" s="512"/>
      <c r="J63" s="512"/>
      <c r="K63" s="513" t="s">
        <v>835</v>
      </c>
    </row>
    <row r="64" spans="1:11" s="520" customFormat="1" ht="37.5" x14ac:dyDescent="0.35">
      <c r="A64" s="509"/>
      <c r="B64" s="503" t="s">
        <v>731</v>
      </c>
      <c r="C64" s="510" t="s">
        <v>169</v>
      </c>
      <c r="D64" s="509" t="s">
        <v>170</v>
      </c>
      <c r="E64" s="511"/>
      <c r="F64" s="522"/>
      <c r="G64" s="511" t="s">
        <v>834</v>
      </c>
      <c r="H64" s="512" t="s">
        <v>172</v>
      </c>
      <c r="I64" s="512">
        <v>8</v>
      </c>
      <c r="J64" s="512"/>
      <c r="K64" s="513" t="s">
        <v>45</v>
      </c>
    </row>
    <row r="65" spans="1:11" s="520" customFormat="1" x14ac:dyDescent="0.35">
      <c r="A65" s="509"/>
      <c r="B65" s="503" t="s">
        <v>731</v>
      </c>
      <c r="C65" s="525" t="s">
        <v>169</v>
      </c>
      <c r="D65" s="526"/>
      <c r="E65" s="527" t="s">
        <v>173</v>
      </c>
      <c r="F65" s="525" t="s">
        <v>14</v>
      </c>
      <c r="G65" s="511" t="s">
        <v>833</v>
      </c>
      <c r="H65" s="512"/>
      <c r="I65" s="512"/>
      <c r="J65" s="512"/>
      <c r="K65" s="513"/>
    </row>
    <row r="66" spans="1:11" s="520" customFormat="1" ht="37.5" x14ac:dyDescent="0.35">
      <c r="A66" s="509"/>
      <c r="B66" s="503" t="s">
        <v>731</v>
      </c>
      <c r="C66" s="525" t="s">
        <v>174</v>
      </c>
      <c r="D66" s="509" t="s">
        <v>170</v>
      </c>
      <c r="E66" s="528"/>
      <c r="F66" s="525"/>
      <c r="G66" s="511" t="s">
        <v>798</v>
      </c>
      <c r="H66" s="512" t="s">
        <v>176</v>
      </c>
      <c r="I66" s="512" t="s">
        <v>177</v>
      </c>
      <c r="J66" s="512"/>
      <c r="K66" s="513"/>
    </row>
    <row r="67" spans="1:11" s="520" customFormat="1" ht="25" x14ac:dyDescent="0.35">
      <c r="A67" s="509"/>
      <c r="B67" s="503" t="s">
        <v>731</v>
      </c>
      <c r="C67" s="525" t="s">
        <v>174</v>
      </c>
      <c r="D67" s="526" t="s">
        <v>178</v>
      </c>
      <c r="E67" s="527" t="s">
        <v>179</v>
      </c>
      <c r="F67" s="525" t="s">
        <v>14</v>
      </c>
      <c r="G67" s="511" t="s">
        <v>798</v>
      </c>
      <c r="H67" s="512"/>
      <c r="I67" s="512"/>
      <c r="J67" s="512" t="s">
        <v>180</v>
      </c>
      <c r="K67" s="513" t="s">
        <v>181</v>
      </c>
    </row>
    <row r="68" spans="1:11" s="520" customFormat="1" ht="25" x14ac:dyDescent="0.35">
      <c r="A68" s="509"/>
      <c r="B68" s="503" t="s">
        <v>731</v>
      </c>
      <c r="C68" s="525" t="s">
        <v>174</v>
      </c>
      <c r="D68" s="526" t="s">
        <v>182</v>
      </c>
      <c r="E68" s="527" t="s">
        <v>183</v>
      </c>
      <c r="F68" s="525" t="s">
        <v>14</v>
      </c>
      <c r="G68" s="510" t="s">
        <v>798</v>
      </c>
      <c r="H68" s="512"/>
      <c r="I68" s="512"/>
      <c r="J68" s="512" t="s">
        <v>180</v>
      </c>
      <c r="K68" s="513" t="s">
        <v>184</v>
      </c>
    </row>
    <row r="69" spans="1:11" s="520" customFormat="1" ht="37.5" x14ac:dyDescent="0.35">
      <c r="A69" s="509"/>
      <c r="B69" s="503" t="s">
        <v>746</v>
      </c>
      <c r="C69" s="525" t="s">
        <v>832</v>
      </c>
      <c r="D69" s="526" t="s">
        <v>831</v>
      </c>
      <c r="E69" s="527" t="s">
        <v>830</v>
      </c>
      <c r="F69" s="525" t="s">
        <v>14</v>
      </c>
      <c r="G69" s="511" t="s">
        <v>798</v>
      </c>
      <c r="H69" s="512"/>
      <c r="I69" s="512"/>
      <c r="J69" s="512"/>
      <c r="K69" s="513" t="s">
        <v>816</v>
      </c>
    </row>
    <row r="70" spans="1:11" s="520" customFormat="1" ht="37.5" x14ac:dyDescent="0.35">
      <c r="A70" s="509" t="s">
        <v>138</v>
      </c>
      <c r="B70" s="503" t="s">
        <v>731</v>
      </c>
      <c r="C70" s="525" t="s">
        <v>185</v>
      </c>
      <c r="D70" s="509" t="s">
        <v>170</v>
      </c>
      <c r="E70" s="511"/>
      <c r="F70" s="522"/>
      <c r="G70" s="511" t="s">
        <v>829</v>
      </c>
      <c r="H70" s="512" t="s">
        <v>176</v>
      </c>
      <c r="I70" s="512" t="s">
        <v>177</v>
      </c>
      <c r="J70" s="512"/>
      <c r="K70" s="513"/>
    </row>
    <row r="71" spans="1:11" s="520" customFormat="1" ht="37.5" x14ac:dyDescent="0.35">
      <c r="A71" s="509" t="s">
        <v>138</v>
      </c>
      <c r="B71" s="503" t="s">
        <v>731</v>
      </c>
      <c r="C71" s="525" t="s">
        <v>185</v>
      </c>
      <c r="D71" s="526" t="s">
        <v>187</v>
      </c>
      <c r="E71" s="527" t="s">
        <v>188</v>
      </c>
      <c r="F71" s="525" t="s">
        <v>14</v>
      </c>
      <c r="G71" s="511" t="s">
        <v>827</v>
      </c>
      <c r="H71" s="512"/>
      <c r="I71" s="512"/>
      <c r="J71" s="512">
        <v>6</v>
      </c>
      <c r="K71" s="513" t="s">
        <v>828</v>
      </c>
    </row>
    <row r="72" spans="1:11" s="520" customFormat="1" ht="37.5" x14ac:dyDescent="0.35">
      <c r="A72" s="509" t="s">
        <v>138</v>
      </c>
      <c r="B72" s="503" t="s">
        <v>731</v>
      </c>
      <c r="C72" s="525" t="s">
        <v>185</v>
      </c>
      <c r="D72" s="526" t="s">
        <v>190</v>
      </c>
      <c r="E72" s="527" t="s">
        <v>191</v>
      </c>
      <c r="F72" s="525" t="s">
        <v>14</v>
      </c>
      <c r="G72" s="511" t="s">
        <v>827</v>
      </c>
      <c r="H72" s="512"/>
      <c r="I72" s="512"/>
      <c r="J72" s="512">
        <v>6</v>
      </c>
      <c r="K72" s="513" t="s">
        <v>826</v>
      </c>
    </row>
    <row r="73" spans="1:11" s="520" customFormat="1" ht="25" x14ac:dyDescent="0.35">
      <c r="A73" s="509" t="s">
        <v>138</v>
      </c>
      <c r="B73" s="503" t="s">
        <v>731</v>
      </c>
      <c r="C73" s="525" t="s">
        <v>185</v>
      </c>
      <c r="D73" s="526" t="s">
        <v>193</v>
      </c>
      <c r="E73" s="527" t="s">
        <v>194</v>
      </c>
      <c r="F73" s="525" t="s">
        <v>14</v>
      </c>
      <c r="G73" s="511" t="s">
        <v>825</v>
      </c>
      <c r="H73" s="512"/>
      <c r="I73" s="512"/>
      <c r="J73" s="512">
        <v>6</v>
      </c>
      <c r="K73" s="513" t="s">
        <v>824</v>
      </c>
    </row>
    <row r="74" spans="1:11" s="520" customFormat="1" ht="50" x14ac:dyDescent="0.35">
      <c r="A74" s="509" t="s">
        <v>138</v>
      </c>
      <c r="B74" s="503" t="s">
        <v>746</v>
      </c>
      <c r="C74" s="525" t="s">
        <v>823</v>
      </c>
      <c r="D74" s="526" t="s">
        <v>822</v>
      </c>
      <c r="E74" s="527" t="s">
        <v>821</v>
      </c>
      <c r="F74" s="525" t="s">
        <v>820</v>
      </c>
      <c r="G74" s="511" t="s">
        <v>819</v>
      </c>
      <c r="H74" s="512"/>
      <c r="I74" s="512"/>
      <c r="J74" s="512"/>
      <c r="K74" s="513" t="s">
        <v>816</v>
      </c>
    </row>
    <row r="75" spans="1:11" s="520" customFormat="1" ht="37.5" x14ac:dyDescent="0.35">
      <c r="A75" s="509"/>
      <c r="B75" s="503" t="s">
        <v>731</v>
      </c>
      <c r="C75" s="525" t="s">
        <v>195</v>
      </c>
      <c r="D75" s="509" t="s">
        <v>170</v>
      </c>
      <c r="E75" s="528"/>
      <c r="F75" s="525"/>
      <c r="G75" s="511" t="s">
        <v>196</v>
      </c>
      <c r="H75" s="512" t="s">
        <v>197</v>
      </c>
      <c r="I75" s="512">
        <v>8</v>
      </c>
      <c r="J75" s="512"/>
      <c r="K75" s="513"/>
    </row>
    <row r="76" spans="1:11" ht="125" x14ac:dyDescent="0.35">
      <c r="A76" s="509"/>
      <c r="B76" s="503" t="s">
        <v>731</v>
      </c>
      <c r="C76" s="527" t="s">
        <v>195</v>
      </c>
      <c r="D76" s="526" t="s">
        <v>198</v>
      </c>
      <c r="E76" s="527" t="s">
        <v>199</v>
      </c>
      <c r="F76" s="527" t="s">
        <v>14</v>
      </c>
      <c r="G76" s="511" t="s">
        <v>196</v>
      </c>
      <c r="H76" s="514"/>
      <c r="I76" s="514"/>
      <c r="J76" s="512">
        <v>15</v>
      </c>
      <c r="K76" s="529" t="s">
        <v>818</v>
      </c>
    </row>
    <row r="77" spans="1:11" s="520" customFormat="1" x14ac:dyDescent="0.35">
      <c r="A77" s="509"/>
      <c r="B77" s="503" t="s">
        <v>731</v>
      </c>
      <c r="C77" s="525" t="s">
        <v>195</v>
      </c>
      <c r="D77" s="526" t="s">
        <v>200</v>
      </c>
      <c r="E77" s="527" t="s">
        <v>201</v>
      </c>
      <c r="F77" s="525" t="s">
        <v>145</v>
      </c>
      <c r="G77" s="511" t="s">
        <v>196</v>
      </c>
      <c r="H77" s="512"/>
      <c r="I77" s="512"/>
      <c r="J77" s="512">
        <v>15</v>
      </c>
      <c r="K77" s="513" t="s">
        <v>816</v>
      </c>
    </row>
    <row r="78" spans="1:11" s="520" customFormat="1" ht="25" x14ac:dyDescent="0.35">
      <c r="A78" s="509"/>
      <c r="B78" s="503" t="s">
        <v>731</v>
      </c>
      <c r="C78" s="525" t="s">
        <v>195</v>
      </c>
      <c r="D78" s="526" t="s">
        <v>202</v>
      </c>
      <c r="E78" s="527" t="s">
        <v>203</v>
      </c>
      <c r="F78" s="525" t="s">
        <v>14</v>
      </c>
      <c r="G78" s="511" t="s">
        <v>817</v>
      </c>
      <c r="H78" s="512"/>
      <c r="I78" s="512"/>
      <c r="J78" s="512">
        <v>15</v>
      </c>
      <c r="K78" s="513" t="s">
        <v>816</v>
      </c>
    </row>
    <row r="79" spans="1:11" s="520" customFormat="1" ht="37.5" x14ac:dyDescent="0.35">
      <c r="A79" s="509"/>
      <c r="B79" s="503" t="s">
        <v>746</v>
      </c>
      <c r="C79" s="525" t="s">
        <v>195</v>
      </c>
      <c r="D79" s="526" t="s">
        <v>815</v>
      </c>
      <c r="E79" s="527" t="s">
        <v>814</v>
      </c>
      <c r="F79" s="525" t="s">
        <v>14</v>
      </c>
      <c r="G79" s="511" t="s">
        <v>813</v>
      </c>
      <c r="H79" s="512"/>
      <c r="I79" s="512"/>
      <c r="J79" s="512"/>
      <c r="K79" s="513"/>
    </row>
    <row r="80" spans="1:11" s="520" customFormat="1" ht="50" x14ac:dyDescent="0.35">
      <c r="A80" s="509"/>
      <c r="B80" s="503" t="s">
        <v>746</v>
      </c>
      <c r="C80" s="525" t="s">
        <v>195</v>
      </c>
      <c r="D80" s="526" t="s">
        <v>812</v>
      </c>
      <c r="E80" s="527" t="s">
        <v>811</v>
      </c>
      <c r="F80" s="525" t="s">
        <v>145</v>
      </c>
      <c r="G80" s="511"/>
      <c r="H80" s="512"/>
      <c r="I80" s="512"/>
      <c r="J80" s="512"/>
      <c r="K80" s="513" t="s">
        <v>810</v>
      </c>
    </row>
    <row r="81" spans="1:11" s="520" customFormat="1" ht="50" x14ac:dyDescent="0.35">
      <c r="A81" s="509"/>
      <c r="B81" s="503" t="s">
        <v>746</v>
      </c>
      <c r="C81" s="525" t="s">
        <v>195</v>
      </c>
      <c r="D81" s="526" t="s">
        <v>809</v>
      </c>
      <c r="E81" s="527" t="s">
        <v>808</v>
      </c>
      <c r="F81" s="525" t="s">
        <v>145</v>
      </c>
      <c r="G81" s="511"/>
      <c r="H81" s="512"/>
      <c r="I81" s="512"/>
      <c r="J81" s="512"/>
      <c r="K81" s="513" t="s">
        <v>807</v>
      </c>
    </row>
    <row r="82" spans="1:11" ht="37.5" x14ac:dyDescent="0.35">
      <c r="A82" s="509"/>
      <c r="B82" s="503" t="s">
        <v>731</v>
      </c>
      <c r="C82" s="525" t="s">
        <v>204</v>
      </c>
      <c r="D82" s="526" t="s">
        <v>170</v>
      </c>
      <c r="E82" s="528"/>
      <c r="F82" s="525"/>
      <c r="G82" s="511" t="s">
        <v>798</v>
      </c>
      <c r="H82" s="512" t="s">
        <v>142</v>
      </c>
      <c r="I82" s="512" t="s">
        <v>177</v>
      </c>
      <c r="J82" s="512"/>
      <c r="K82" s="513"/>
    </row>
    <row r="83" spans="1:11" ht="37.5" x14ac:dyDescent="0.35">
      <c r="A83" s="509"/>
      <c r="B83" s="503" t="s">
        <v>731</v>
      </c>
      <c r="C83" s="525" t="s">
        <v>204</v>
      </c>
      <c r="D83" s="526" t="s">
        <v>205</v>
      </c>
      <c r="E83" s="527" t="s">
        <v>206</v>
      </c>
      <c r="F83" s="525" t="s">
        <v>14</v>
      </c>
      <c r="G83" s="511" t="s">
        <v>798</v>
      </c>
      <c r="H83" s="512"/>
      <c r="I83" s="512"/>
      <c r="J83" s="512" t="s">
        <v>180</v>
      </c>
      <c r="K83" s="513" t="s">
        <v>806</v>
      </c>
    </row>
    <row r="84" spans="1:11" ht="25" x14ac:dyDescent="0.35">
      <c r="A84" s="509"/>
      <c r="B84" s="503" t="s">
        <v>731</v>
      </c>
      <c r="C84" s="525" t="s">
        <v>204</v>
      </c>
      <c r="D84" s="526" t="s">
        <v>208</v>
      </c>
      <c r="E84" s="527" t="s">
        <v>805</v>
      </c>
      <c r="F84" s="525" t="s">
        <v>14</v>
      </c>
      <c r="G84" s="511" t="s">
        <v>798</v>
      </c>
      <c r="H84" s="512"/>
      <c r="I84" s="512"/>
      <c r="J84" s="512" t="s">
        <v>180</v>
      </c>
      <c r="K84" s="513" t="s">
        <v>804</v>
      </c>
    </row>
    <row r="85" spans="1:11" x14ac:dyDescent="0.35">
      <c r="A85" s="509"/>
      <c r="B85" s="503" t="s">
        <v>731</v>
      </c>
      <c r="C85" s="525" t="s">
        <v>204</v>
      </c>
      <c r="D85" s="526" t="s">
        <v>213</v>
      </c>
      <c r="E85" s="527" t="s">
        <v>803</v>
      </c>
      <c r="F85" s="525" t="s">
        <v>14</v>
      </c>
      <c r="G85" s="511" t="s">
        <v>798</v>
      </c>
      <c r="H85" s="512"/>
      <c r="I85" s="512"/>
      <c r="J85" s="512" t="s">
        <v>180</v>
      </c>
      <c r="K85" s="513" t="s">
        <v>802</v>
      </c>
    </row>
    <row r="86" spans="1:11" ht="25" x14ac:dyDescent="0.35">
      <c r="A86" s="509"/>
      <c r="B86" s="503" t="s">
        <v>731</v>
      </c>
      <c r="C86" s="525" t="s">
        <v>204</v>
      </c>
      <c r="D86" s="526" t="s">
        <v>216</v>
      </c>
      <c r="E86" s="527" t="s">
        <v>217</v>
      </c>
      <c r="F86" s="525" t="s">
        <v>14</v>
      </c>
      <c r="G86" s="511" t="s">
        <v>798</v>
      </c>
      <c r="H86" s="512"/>
      <c r="I86" s="512"/>
      <c r="J86" s="512" t="s">
        <v>180</v>
      </c>
      <c r="K86" s="513" t="s">
        <v>801</v>
      </c>
    </row>
    <row r="87" spans="1:11" x14ac:dyDescent="0.35">
      <c r="A87" s="509"/>
      <c r="B87" s="503" t="s">
        <v>731</v>
      </c>
      <c r="C87" s="525" t="s">
        <v>204</v>
      </c>
      <c r="D87" s="526" t="s">
        <v>219</v>
      </c>
      <c r="E87" s="527" t="s">
        <v>220</v>
      </c>
      <c r="F87" s="525" t="s">
        <v>221</v>
      </c>
      <c r="G87" s="511" t="s">
        <v>798</v>
      </c>
      <c r="H87" s="512"/>
      <c r="I87" s="512"/>
      <c r="J87" s="512" t="s">
        <v>180</v>
      </c>
      <c r="K87" s="513"/>
    </row>
    <row r="88" spans="1:11" s="520" customFormat="1" ht="37.5" x14ac:dyDescent="0.35">
      <c r="A88" s="509"/>
      <c r="B88" s="503" t="s">
        <v>746</v>
      </c>
      <c r="C88" s="525" t="s">
        <v>204</v>
      </c>
      <c r="D88" s="526" t="s">
        <v>800</v>
      </c>
      <c r="E88" s="527" t="s">
        <v>799</v>
      </c>
      <c r="F88" s="525" t="s">
        <v>145</v>
      </c>
      <c r="G88" s="511" t="s">
        <v>798</v>
      </c>
      <c r="H88" s="512"/>
      <c r="I88" s="512"/>
      <c r="J88" s="512"/>
      <c r="K88" s="513"/>
    </row>
    <row r="89" spans="1:11" s="520" customFormat="1" ht="62.5" x14ac:dyDescent="0.35">
      <c r="A89" s="509"/>
      <c r="B89" s="503" t="s">
        <v>746</v>
      </c>
      <c r="C89" s="525" t="s">
        <v>204</v>
      </c>
      <c r="D89" s="526" t="s">
        <v>797</v>
      </c>
      <c r="E89" s="527" t="s">
        <v>796</v>
      </c>
      <c r="F89" s="525" t="s">
        <v>14</v>
      </c>
      <c r="G89" s="511" t="s">
        <v>795</v>
      </c>
      <c r="H89" s="512"/>
      <c r="I89" s="512"/>
      <c r="J89" s="512"/>
      <c r="K89" s="513"/>
    </row>
    <row r="90" spans="1:11" ht="37.5" x14ac:dyDescent="0.35">
      <c r="A90" s="509"/>
      <c r="B90" s="503" t="s">
        <v>731</v>
      </c>
      <c r="C90" s="525" t="s">
        <v>225</v>
      </c>
      <c r="D90" s="526" t="s">
        <v>170</v>
      </c>
      <c r="E90" s="527" t="s">
        <v>226</v>
      </c>
      <c r="F90" s="525" t="s">
        <v>14</v>
      </c>
      <c r="G90" s="511" t="s">
        <v>794</v>
      </c>
      <c r="H90" s="512" t="s">
        <v>228</v>
      </c>
      <c r="I90" s="512" t="s">
        <v>177</v>
      </c>
      <c r="J90" s="530"/>
      <c r="K90" s="513"/>
    </row>
    <row r="91" spans="1:11" s="520" customFormat="1" x14ac:dyDescent="0.35">
      <c r="A91" s="509"/>
      <c r="B91" s="503" t="s">
        <v>731</v>
      </c>
      <c r="C91" s="527" t="s">
        <v>225</v>
      </c>
      <c r="D91" s="526" t="s">
        <v>229</v>
      </c>
      <c r="E91" s="527" t="s">
        <v>230</v>
      </c>
      <c r="F91" s="527" t="s">
        <v>221</v>
      </c>
      <c r="G91" s="510" t="s">
        <v>794</v>
      </c>
      <c r="H91" s="512"/>
      <c r="I91" s="512"/>
      <c r="J91" s="512" t="s">
        <v>231</v>
      </c>
      <c r="K91" s="513" t="s">
        <v>45</v>
      </c>
    </row>
    <row r="92" spans="1:11" ht="25" x14ac:dyDescent="0.35">
      <c r="A92" s="509"/>
      <c r="B92" s="503" t="s">
        <v>731</v>
      </c>
      <c r="C92" s="527" t="s">
        <v>225</v>
      </c>
      <c r="D92" s="526" t="s">
        <v>232</v>
      </c>
      <c r="E92" s="527" t="s">
        <v>233</v>
      </c>
      <c r="F92" s="527" t="s">
        <v>14</v>
      </c>
      <c r="G92" s="510" t="s">
        <v>793</v>
      </c>
      <c r="H92" s="512" t="s">
        <v>172</v>
      </c>
      <c r="I92" s="512" t="s">
        <v>177</v>
      </c>
      <c r="J92" s="512" t="s">
        <v>231</v>
      </c>
      <c r="K92" s="513" t="s">
        <v>792</v>
      </c>
    </row>
    <row r="93" spans="1:11" ht="25" x14ac:dyDescent="0.35">
      <c r="A93" s="509"/>
      <c r="B93" s="503" t="s">
        <v>746</v>
      </c>
      <c r="C93" s="527" t="s">
        <v>784</v>
      </c>
      <c r="D93" s="526" t="s">
        <v>791</v>
      </c>
      <c r="E93" s="527" t="s">
        <v>790</v>
      </c>
      <c r="F93" s="527" t="s">
        <v>145</v>
      </c>
      <c r="G93" s="510" t="s">
        <v>786</v>
      </c>
      <c r="H93" s="512"/>
      <c r="I93" s="512"/>
      <c r="J93" s="512"/>
      <c r="K93" s="513" t="s">
        <v>789</v>
      </c>
    </row>
    <row r="94" spans="1:11" ht="25" x14ac:dyDescent="0.35">
      <c r="A94" s="509"/>
      <c r="B94" s="503" t="s">
        <v>746</v>
      </c>
      <c r="C94" s="527" t="s">
        <v>784</v>
      </c>
      <c r="D94" s="526" t="s">
        <v>788</v>
      </c>
      <c r="E94" s="527" t="s">
        <v>787</v>
      </c>
      <c r="F94" s="527" t="s">
        <v>145</v>
      </c>
      <c r="G94" s="510" t="s">
        <v>786</v>
      </c>
      <c r="H94" s="512"/>
      <c r="I94" s="512"/>
      <c r="J94" s="512"/>
      <c r="K94" s="513" t="s">
        <v>785</v>
      </c>
    </row>
    <row r="95" spans="1:11" ht="37.5" x14ac:dyDescent="0.35">
      <c r="A95" s="509"/>
      <c r="B95" s="503" t="s">
        <v>746</v>
      </c>
      <c r="C95" s="527" t="s">
        <v>784</v>
      </c>
      <c r="D95" s="526" t="s">
        <v>783</v>
      </c>
      <c r="E95" s="527" t="s">
        <v>782</v>
      </c>
      <c r="F95" s="527" t="s">
        <v>14</v>
      </c>
      <c r="G95" s="510" t="s">
        <v>781</v>
      </c>
      <c r="H95" s="512"/>
      <c r="I95" s="512"/>
      <c r="J95" s="512"/>
      <c r="K95" s="513"/>
    </row>
    <row r="96" spans="1:11" ht="37.5" x14ac:dyDescent="0.35">
      <c r="A96" s="509"/>
      <c r="B96" s="503" t="s">
        <v>731</v>
      </c>
      <c r="C96" s="527" t="s">
        <v>235</v>
      </c>
      <c r="D96" s="526" t="s">
        <v>170</v>
      </c>
      <c r="E96" s="528"/>
      <c r="F96" s="527" t="s">
        <v>14</v>
      </c>
      <c r="G96" s="510" t="s">
        <v>780</v>
      </c>
      <c r="H96" s="512" t="s">
        <v>236</v>
      </c>
      <c r="I96" s="512" t="s">
        <v>177</v>
      </c>
      <c r="J96" s="512"/>
      <c r="K96" s="513"/>
    </row>
    <row r="97" spans="1:11" ht="25" x14ac:dyDescent="0.35">
      <c r="A97" s="509"/>
      <c r="B97" s="503" t="s">
        <v>731</v>
      </c>
      <c r="C97" s="527" t="s">
        <v>235</v>
      </c>
      <c r="D97" s="526" t="s">
        <v>237</v>
      </c>
      <c r="E97" s="527" t="s">
        <v>238</v>
      </c>
      <c r="F97" s="527" t="s">
        <v>14</v>
      </c>
      <c r="G97" s="510" t="s">
        <v>779</v>
      </c>
      <c r="H97" s="512"/>
      <c r="I97" s="512" t="s">
        <v>778</v>
      </c>
      <c r="J97" s="512" t="s">
        <v>231</v>
      </c>
      <c r="K97" s="513" t="s">
        <v>239</v>
      </c>
    </row>
    <row r="98" spans="1:11" s="520" customFormat="1" ht="25" x14ac:dyDescent="0.35">
      <c r="A98" s="509"/>
      <c r="B98" s="503" t="s">
        <v>731</v>
      </c>
      <c r="C98" s="510" t="s">
        <v>246</v>
      </c>
      <c r="D98" s="509" t="s">
        <v>154</v>
      </c>
      <c r="E98" s="510"/>
      <c r="F98" s="522" t="s">
        <v>14</v>
      </c>
      <c r="G98" s="510" t="s">
        <v>762</v>
      </c>
      <c r="H98" s="512">
        <v>1</v>
      </c>
      <c r="I98" s="512" t="s">
        <v>248</v>
      </c>
      <c r="J98" s="512"/>
      <c r="K98" s="513"/>
    </row>
    <row r="99" spans="1:11" s="520" customFormat="1" ht="25" x14ac:dyDescent="0.35">
      <c r="A99" s="509"/>
      <c r="B99" s="503" t="s">
        <v>731</v>
      </c>
      <c r="C99" s="510" t="s">
        <v>246</v>
      </c>
      <c r="D99" s="509" t="s">
        <v>249</v>
      </c>
      <c r="E99" s="510" t="s">
        <v>250</v>
      </c>
      <c r="F99" s="522" t="s">
        <v>14</v>
      </c>
      <c r="G99" s="510" t="s">
        <v>762</v>
      </c>
      <c r="H99" s="512"/>
      <c r="I99" s="512"/>
      <c r="J99" s="512"/>
      <c r="K99" s="513"/>
    </row>
    <row r="100" spans="1:11" s="520" customFormat="1" ht="25" x14ac:dyDescent="0.35">
      <c r="A100" s="509"/>
      <c r="B100" s="503" t="s">
        <v>731</v>
      </c>
      <c r="C100" s="510" t="s">
        <v>246</v>
      </c>
      <c r="D100" s="509" t="s">
        <v>251</v>
      </c>
      <c r="E100" s="510" t="s">
        <v>252</v>
      </c>
      <c r="F100" s="522" t="s">
        <v>14</v>
      </c>
      <c r="G100" s="510" t="s">
        <v>762</v>
      </c>
      <c r="H100" s="512"/>
      <c r="I100" s="512"/>
      <c r="J100" s="512"/>
      <c r="K100" s="513"/>
    </row>
    <row r="101" spans="1:11" s="520" customFormat="1" ht="50" x14ac:dyDescent="0.35">
      <c r="A101" s="509"/>
      <c r="B101" s="503" t="s">
        <v>746</v>
      </c>
      <c r="C101" s="510" t="s">
        <v>774</v>
      </c>
      <c r="D101" s="509" t="s">
        <v>777</v>
      </c>
      <c r="E101" s="510" t="s">
        <v>776</v>
      </c>
      <c r="F101" s="522" t="s">
        <v>145</v>
      </c>
      <c r="G101" s="510" t="s">
        <v>762</v>
      </c>
      <c r="H101" s="512"/>
      <c r="I101" s="512"/>
      <c r="J101" s="512"/>
      <c r="K101" s="513" t="s">
        <v>775</v>
      </c>
    </row>
    <row r="102" spans="1:11" s="520" customFormat="1" ht="25" x14ac:dyDescent="0.35">
      <c r="A102" s="509"/>
      <c r="B102" s="503" t="s">
        <v>746</v>
      </c>
      <c r="C102" s="510" t="s">
        <v>774</v>
      </c>
      <c r="D102" s="509" t="s">
        <v>773</v>
      </c>
      <c r="E102" s="510" t="s">
        <v>772</v>
      </c>
      <c r="F102" s="522" t="s">
        <v>14</v>
      </c>
      <c r="G102" s="510" t="s">
        <v>762</v>
      </c>
      <c r="H102" s="512"/>
      <c r="I102" s="512"/>
      <c r="J102" s="512"/>
      <c r="K102" s="513"/>
    </row>
    <row r="103" spans="1:11" ht="25" x14ac:dyDescent="0.35">
      <c r="A103" s="509" t="s">
        <v>138</v>
      </c>
      <c r="B103" s="503" t="s">
        <v>731</v>
      </c>
      <c r="C103" s="510" t="s">
        <v>253</v>
      </c>
      <c r="D103" s="509" t="s">
        <v>154</v>
      </c>
      <c r="E103" s="510"/>
      <c r="F103" s="522" t="s">
        <v>14</v>
      </c>
      <c r="G103" s="510" t="s">
        <v>767</v>
      </c>
      <c r="H103" s="512" t="s">
        <v>255</v>
      </c>
      <c r="I103" s="512"/>
      <c r="J103" s="512"/>
      <c r="K103" s="513"/>
    </row>
    <row r="104" spans="1:11" ht="25" x14ac:dyDescent="0.35">
      <c r="A104" s="509" t="s">
        <v>138</v>
      </c>
      <c r="B104" s="503" t="s">
        <v>731</v>
      </c>
      <c r="C104" s="510" t="s">
        <v>253</v>
      </c>
      <c r="D104" s="509" t="s">
        <v>256</v>
      </c>
      <c r="E104" s="510" t="s">
        <v>257</v>
      </c>
      <c r="F104" s="522" t="s">
        <v>14</v>
      </c>
      <c r="G104" s="510" t="s">
        <v>771</v>
      </c>
      <c r="H104" s="512"/>
      <c r="I104" s="512"/>
      <c r="J104" s="512" t="s">
        <v>258</v>
      </c>
      <c r="K104" s="531">
        <v>1</v>
      </c>
    </row>
    <row r="105" spans="1:11" ht="25" x14ac:dyDescent="0.35">
      <c r="A105" s="509" t="s">
        <v>138</v>
      </c>
      <c r="B105" s="503" t="s">
        <v>731</v>
      </c>
      <c r="C105" s="510" t="s">
        <v>253</v>
      </c>
      <c r="D105" s="509" t="s">
        <v>259</v>
      </c>
      <c r="E105" s="510" t="s">
        <v>260</v>
      </c>
      <c r="F105" s="522" t="s">
        <v>145</v>
      </c>
      <c r="G105" s="510" t="s">
        <v>767</v>
      </c>
      <c r="H105" s="512"/>
      <c r="I105" s="512"/>
      <c r="J105" s="512" t="s">
        <v>258</v>
      </c>
      <c r="K105" s="513" t="s">
        <v>45</v>
      </c>
    </row>
    <row r="106" spans="1:11" ht="25" x14ac:dyDescent="0.35">
      <c r="A106" s="509" t="s">
        <v>138</v>
      </c>
      <c r="B106" s="503" t="s">
        <v>731</v>
      </c>
      <c r="C106" s="510" t="s">
        <v>253</v>
      </c>
      <c r="D106" s="509" t="s">
        <v>262</v>
      </c>
      <c r="E106" s="510" t="s">
        <v>263</v>
      </c>
      <c r="F106" s="522" t="s">
        <v>145</v>
      </c>
      <c r="G106" s="510" t="s">
        <v>767</v>
      </c>
      <c r="H106" s="512"/>
      <c r="I106" s="512"/>
      <c r="J106" s="512" t="s">
        <v>258</v>
      </c>
      <c r="K106" s="513" t="s">
        <v>45</v>
      </c>
    </row>
    <row r="107" spans="1:11" ht="75" x14ac:dyDescent="0.35">
      <c r="A107" s="509"/>
      <c r="B107" s="503" t="s">
        <v>746</v>
      </c>
      <c r="C107" s="510" t="s">
        <v>770</v>
      </c>
      <c r="D107" s="509" t="s">
        <v>769</v>
      </c>
      <c r="E107" s="510" t="s">
        <v>768</v>
      </c>
      <c r="F107" s="522" t="s">
        <v>145</v>
      </c>
      <c r="G107" s="510" t="s">
        <v>767</v>
      </c>
      <c r="H107" s="512"/>
      <c r="I107" s="512"/>
      <c r="J107" s="512"/>
      <c r="K107" s="513" t="s">
        <v>45</v>
      </c>
    </row>
    <row r="108" spans="1:11" x14ac:dyDescent="0.35">
      <c r="A108" s="509"/>
      <c r="B108" s="503" t="s">
        <v>731</v>
      </c>
      <c r="C108" s="510" t="s">
        <v>264</v>
      </c>
      <c r="D108" s="509" t="s">
        <v>154</v>
      </c>
      <c r="E108" s="511"/>
      <c r="F108" s="522" t="s">
        <v>14</v>
      </c>
      <c r="G108" s="510" t="s">
        <v>765</v>
      </c>
      <c r="H108" s="512" t="s">
        <v>241</v>
      </c>
      <c r="I108" s="512" t="s">
        <v>266</v>
      </c>
      <c r="J108" s="512"/>
      <c r="K108" s="513"/>
    </row>
    <row r="109" spans="1:11" ht="37.5" x14ac:dyDescent="0.35">
      <c r="A109" s="509"/>
      <c r="B109" s="503" t="s">
        <v>731</v>
      </c>
      <c r="C109" s="510" t="s">
        <v>264</v>
      </c>
      <c r="D109" s="509" t="s">
        <v>267</v>
      </c>
      <c r="E109" s="510" t="s">
        <v>766</v>
      </c>
      <c r="F109" s="522" t="s">
        <v>14</v>
      </c>
      <c r="G109" s="510" t="s">
        <v>765</v>
      </c>
      <c r="H109" s="512"/>
      <c r="I109" s="512"/>
      <c r="J109" s="512" t="s">
        <v>269</v>
      </c>
      <c r="K109" s="513"/>
    </row>
    <row r="110" spans="1:11" ht="25" x14ac:dyDescent="0.35">
      <c r="A110" s="509"/>
      <c r="B110" s="503" t="s">
        <v>731</v>
      </c>
      <c r="C110" s="510" t="s">
        <v>270</v>
      </c>
      <c r="D110" s="509" t="s">
        <v>154</v>
      </c>
      <c r="E110" s="511"/>
      <c r="F110" s="522"/>
      <c r="G110" s="510" t="s">
        <v>764</v>
      </c>
      <c r="H110" s="512">
        <v>3</v>
      </c>
      <c r="I110" s="512" t="s">
        <v>272</v>
      </c>
      <c r="J110" s="512"/>
      <c r="K110" s="513"/>
    </row>
    <row r="111" spans="1:11" ht="25" x14ac:dyDescent="0.35">
      <c r="A111" s="509"/>
      <c r="B111" s="503" t="s">
        <v>731</v>
      </c>
      <c r="C111" s="510" t="s">
        <v>270</v>
      </c>
      <c r="D111" s="509" t="s">
        <v>273</v>
      </c>
      <c r="E111" s="510" t="s">
        <v>274</v>
      </c>
      <c r="F111" s="522" t="s">
        <v>145</v>
      </c>
      <c r="G111" s="510" t="s">
        <v>764</v>
      </c>
      <c r="H111" s="512"/>
      <c r="I111" s="512"/>
      <c r="J111" s="512"/>
      <c r="K111" s="513"/>
    </row>
    <row r="112" spans="1:11" s="520" customFormat="1" ht="25" x14ac:dyDescent="0.35">
      <c r="A112" s="509"/>
      <c r="B112" s="503" t="s">
        <v>731</v>
      </c>
      <c r="C112" s="510" t="s">
        <v>275</v>
      </c>
      <c r="D112" s="509" t="s">
        <v>154</v>
      </c>
      <c r="E112" s="510"/>
      <c r="F112" s="522"/>
      <c r="G112" s="510" t="s">
        <v>762</v>
      </c>
      <c r="H112" s="512" t="s">
        <v>277</v>
      </c>
      <c r="I112" s="512" t="s">
        <v>278</v>
      </c>
      <c r="J112" s="512"/>
      <c r="K112" s="513"/>
    </row>
    <row r="113" spans="1:11" ht="37.5" x14ac:dyDescent="0.35">
      <c r="A113" s="509"/>
      <c r="B113" s="503" t="s">
        <v>731</v>
      </c>
      <c r="C113" s="510" t="s">
        <v>275</v>
      </c>
      <c r="D113" s="509" t="s">
        <v>279</v>
      </c>
      <c r="E113" s="510" t="s">
        <v>763</v>
      </c>
      <c r="F113" s="522" t="s">
        <v>145</v>
      </c>
      <c r="G113" s="510" t="s">
        <v>762</v>
      </c>
      <c r="H113" s="512"/>
      <c r="I113" s="512"/>
      <c r="J113" s="512"/>
      <c r="K113" s="521" t="s">
        <v>281</v>
      </c>
    </row>
    <row r="114" spans="1:11" x14ac:dyDescent="0.35">
      <c r="A114" s="509"/>
      <c r="B114" s="503" t="s">
        <v>731</v>
      </c>
      <c r="C114" s="510" t="s">
        <v>282</v>
      </c>
      <c r="D114" s="509" t="s">
        <v>154</v>
      </c>
      <c r="E114" s="510"/>
      <c r="F114" s="522"/>
      <c r="G114" s="511" t="s">
        <v>761</v>
      </c>
      <c r="H114" s="512" t="s">
        <v>277</v>
      </c>
      <c r="I114" s="512" t="s">
        <v>284</v>
      </c>
      <c r="J114" s="512"/>
      <c r="K114" s="513"/>
    </row>
    <row r="115" spans="1:11" ht="25" x14ac:dyDescent="0.35">
      <c r="A115" s="509"/>
      <c r="B115" s="503" t="s">
        <v>731</v>
      </c>
      <c r="C115" s="510" t="s">
        <v>282</v>
      </c>
      <c r="D115" s="509" t="s">
        <v>285</v>
      </c>
      <c r="E115" s="510" t="s">
        <v>286</v>
      </c>
      <c r="F115" s="522" t="s">
        <v>14</v>
      </c>
      <c r="G115" s="511" t="s">
        <v>761</v>
      </c>
      <c r="H115" s="512"/>
      <c r="I115" s="512"/>
      <c r="J115" s="512"/>
      <c r="K115" s="513" t="s">
        <v>760</v>
      </c>
    </row>
    <row r="116" spans="1:11" ht="25" x14ac:dyDescent="0.35">
      <c r="A116" s="509"/>
      <c r="B116" s="503" t="s">
        <v>731</v>
      </c>
      <c r="C116" s="510" t="s">
        <v>288</v>
      </c>
      <c r="D116" s="509" t="s">
        <v>154</v>
      </c>
      <c r="E116" s="510"/>
      <c r="F116" s="522"/>
      <c r="G116" s="511" t="s">
        <v>747</v>
      </c>
      <c r="H116" s="512" t="s">
        <v>290</v>
      </c>
      <c r="I116" s="512" t="s">
        <v>284</v>
      </c>
      <c r="J116" s="512"/>
      <c r="K116" s="513"/>
    </row>
    <row r="117" spans="1:11" ht="25" x14ac:dyDescent="0.35">
      <c r="A117" s="509"/>
      <c r="B117" s="503" t="s">
        <v>731</v>
      </c>
      <c r="C117" s="510" t="s">
        <v>288</v>
      </c>
      <c r="D117" s="509" t="s">
        <v>291</v>
      </c>
      <c r="E117" s="510" t="s">
        <v>292</v>
      </c>
      <c r="F117" s="522" t="s">
        <v>14</v>
      </c>
      <c r="G117" s="511" t="s">
        <v>747</v>
      </c>
      <c r="H117" s="512"/>
      <c r="I117" s="512"/>
      <c r="J117" s="512"/>
      <c r="K117" s="521" t="s">
        <v>759</v>
      </c>
    </row>
    <row r="118" spans="1:11" ht="25" x14ac:dyDescent="0.35">
      <c r="A118" s="509"/>
      <c r="B118" s="503" t="s">
        <v>731</v>
      </c>
      <c r="C118" s="510" t="s">
        <v>294</v>
      </c>
      <c r="D118" s="509" t="s">
        <v>154</v>
      </c>
      <c r="E118" s="510"/>
      <c r="F118" s="522"/>
      <c r="G118" s="511" t="s">
        <v>758</v>
      </c>
      <c r="H118" s="512" t="s">
        <v>284</v>
      </c>
      <c r="I118" s="512" t="s">
        <v>296</v>
      </c>
      <c r="J118" s="512"/>
      <c r="K118" s="513" t="s">
        <v>757</v>
      </c>
    </row>
    <row r="119" spans="1:11" s="520" customFormat="1" ht="37.5" x14ac:dyDescent="0.35">
      <c r="A119" s="509"/>
      <c r="B119" s="503" t="s">
        <v>731</v>
      </c>
      <c r="C119" s="510" t="s">
        <v>294</v>
      </c>
      <c r="D119" s="509" t="s">
        <v>297</v>
      </c>
      <c r="E119" s="510" t="s">
        <v>756</v>
      </c>
      <c r="F119" s="522" t="s">
        <v>14</v>
      </c>
      <c r="G119" s="511" t="s">
        <v>754</v>
      </c>
      <c r="H119" s="512"/>
      <c r="I119" s="512"/>
      <c r="J119" s="512"/>
      <c r="K119" s="513" t="s">
        <v>755</v>
      </c>
    </row>
    <row r="120" spans="1:11" s="520" customFormat="1" ht="25" x14ac:dyDescent="0.35">
      <c r="A120" s="509"/>
      <c r="B120" s="503" t="s">
        <v>731</v>
      </c>
      <c r="C120" s="510" t="s">
        <v>294</v>
      </c>
      <c r="D120" s="509" t="s">
        <v>300</v>
      </c>
      <c r="E120" s="510" t="s">
        <v>301</v>
      </c>
      <c r="F120" s="522" t="s">
        <v>14</v>
      </c>
      <c r="G120" s="511" t="s">
        <v>754</v>
      </c>
      <c r="H120" s="512"/>
      <c r="I120" s="512"/>
      <c r="J120" s="512" t="s">
        <v>269</v>
      </c>
      <c r="K120" s="513"/>
    </row>
    <row r="121" spans="1:11" s="520" customFormat="1" ht="37.5" x14ac:dyDescent="0.35">
      <c r="A121" s="509"/>
      <c r="B121" s="503" t="s">
        <v>746</v>
      </c>
      <c r="C121" s="510" t="s">
        <v>745</v>
      </c>
      <c r="D121" s="509" t="s">
        <v>753</v>
      </c>
      <c r="E121" s="510" t="s">
        <v>752</v>
      </c>
      <c r="F121" s="522" t="s">
        <v>221</v>
      </c>
      <c r="G121" s="511" t="s">
        <v>751</v>
      </c>
      <c r="H121" s="512"/>
      <c r="I121" s="512"/>
      <c r="J121" s="512"/>
      <c r="K121" s="513" t="s">
        <v>750</v>
      </c>
    </row>
    <row r="122" spans="1:11" s="520" customFormat="1" ht="37.5" x14ac:dyDescent="0.35">
      <c r="A122" s="509"/>
      <c r="B122" s="503" t="s">
        <v>746</v>
      </c>
      <c r="C122" s="510" t="s">
        <v>745</v>
      </c>
      <c r="D122" s="509" t="s">
        <v>749</v>
      </c>
      <c r="E122" s="510" t="s">
        <v>748</v>
      </c>
      <c r="F122" s="522" t="s">
        <v>145</v>
      </c>
      <c r="G122" s="511" t="s">
        <v>747</v>
      </c>
      <c r="H122" s="512"/>
      <c r="I122" s="512"/>
      <c r="J122" s="512"/>
      <c r="K122" s="513"/>
    </row>
    <row r="123" spans="1:11" s="520" customFormat="1" ht="62.5" x14ac:dyDescent="0.35">
      <c r="A123" s="509"/>
      <c r="B123" s="503" t="s">
        <v>746</v>
      </c>
      <c r="C123" s="510" t="s">
        <v>745</v>
      </c>
      <c r="D123" s="509" t="s">
        <v>744</v>
      </c>
      <c r="E123" s="510" t="s">
        <v>743</v>
      </c>
      <c r="F123" s="522" t="s">
        <v>14</v>
      </c>
      <c r="G123" s="511" t="s">
        <v>742</v>
      </c>
      <c r="H123" s="512"/>
      <c r="I123" s="512"/>
      <c r="J123" s="512"/>
      <c r="K123" s="513"/>
    </row>
    <row r="124" spans="1:11" ht="25" x14ac:dyDescent="0.35">
      <c r="A124" s="509" t="s">
        <v>138</v>
      </c>
      <c r="B124" s="503" t="s">
        <v>731</v>
      </c>
      <c r="C124" s="510" t="s">
        <v>302</v>
      </c>
      <c r="D124" s="509" t="s">
        <v>154</v>
      </c>
      <c r="E124" s="510"/>
      <c r="F124" s="522"/>
      <c r="G124" s="511" t="s">
        <v>741</v>
      </c>
      <c r="H124" s="512" t="s">
        <v>304</v>
      </c>
      <c r="I124" s="512"/>
      <c r="J124" s="512"/>
      <c r="K124" s="513"/>
    </row>
    <row r="125" spans="1:11" ht="37.5" x14ac:dyDescent="0.35">
      <c r="A125" s="509" t="s">
        <v>138</v>
      </c>
      <c r="B125" s="503" t="s">
        <v>731</v>
      </c>
      <c r="C125" s="510" t="s">
        <v>302</v>
      </c>
      <c r="D125" s="509" t="s">
        <v>305</v>
      </c>
      <c r="E125" s="510" t="s">
        <v>306</v>
      </c>
      <c r="F125" s="522" t="s">
        <v>145</v>
      </c>
      <c r="G125" s="511" t="s">
        <v>739</v>
      </c>
      <c r="H125" s="512"/>
      <c r="I125" s="512"/>
      <c r="J125" s="512" t="s">
        <v>307</v>
      </c>
      <c r="K125" s="513"/>
    </row>
    <row r="126" spans="1:11" ht="37.5" x14ac:dyDescent="0.35">
      <c r="A126" s="509" t="s">
        <v>138</v>
      </c>
      <c r="B126" s="503" t="s">
        <v>731</v>
      </c>
      <c r="C126" s="510" t="s">
        <v>302</v>
      </c>
      <c r="D126" s="509" t="s">
        <v>308</v>
      </c>
      <c r="E126" s="510" t="s">
        <v>740</v>
      </c>
      <c r="F126" s="522" t="s">
        <v>14</v>
      </c>
      <c r="G126" s="511" t="s">
        <v>739</v>
      </c>
      <c r="H126" s="512"/>
      <c r="I126" s="512"/>
      <c r="J126" s="512"/>
      <c r="K126" s="513"/>
    </row>
    <row r="127" spans="1:11" ht="25" x14ac:dyDescent="0.35">
      <c r="A127" s="509"/>
      <c r="B127" s="503" t="s">
        <v>731</v>
      </c>
      <c r="C127" s="510" t="s">
        <v>310</v>
      </c>
      <c r="D127" s="509" t="s">
        <v>154</v>
      </c>
      <c r="E127" s="510"/>
      <c r="F127" s="510" t="s">
        <v>14</v>
      </c>
      <c r="G127" s="511" t="s">
        <v>738</v>
      </c>
      <c r="H127" s="512" t="s">
        <v>284</v>
      </c>
      <c r="I127" s="512" t="s">
        <v>312</v>
      </c>
      <c r="J127" s="512"/>
      <c r="K127" s="513"/>
    </row>
    <row r="128" spans="1:11" ht="25" x14ac:dyDescent="0.35">
      <c r="A128" s="509"/>
      <c r="B128" s="503" t="s">
        <v>731</v>
      </c>
      <c r="C128" s="510" t="s">
        <v>310</v>
      </c>
      <c r="D128" s="509" t="s">
        <v>313</v>
      </c>
      <c r="E128" s="510" t="s">
        <v>314</v>
      </c>
      <c r="F128" s="510" t="s">
        <v>14</v>
      </c>
      <c r="G128" s="511" t="s">
        <v>738</v>
      </c>
      <c r="H128" s="512"/>
      <c r="I128" s="512"/>
      <c r="J128" s="512">
        <v>8</v>
      </c>
      <c r="K128" s="531"/>
    </row>
    <row r="129" spans="1:11" ht="25" x14ac:dyDescent="0.35">
      <c r="A129" s="509" t="s">
        <v>138</v>
      </c>
      <c r="B129" s="503" t="s">
        <v>731</v>
      </c>
      <c r="C129" s="510" t="s">
        <v>315</v>
      </c>
      <c r="D129" s="509" t="s">
        <v>154</v>
      </c>
      <c r="E129" s="510"/>
      <c r="F129" s="522" t="s">
        <v>14</v>
      </c>
      <c r="G129" s="511" t="s">
        <v>737</v>
      </c>
      <c r="H129" s="512">
        <v>10</v>
      </c>
      <c r="I129" s="512"/>
      <c r="J129" s="512"/>
      <c r="K129" s="531"/>
    </row>
    <row r="130" spans="1:11" ht="25" x14ac:dyDescent="0.35">
      <c r="A130" s="509" t="s">
        <v>138</v>
      </c>
      <c r="B130" s="503" t="s">
        <v>731</v>
      </c>
      <c r="C130" s="510" t="s">
        <v>315</v>
      </c>
      <c r="D130" s="509" t="s">
        <v>316</v>
      </c>
      <c r="E130" s="510" t="s">
        <v>317</v>
      </c>
      <c r="F130" s="522" t="s">
        <v>14</v>
      </c>
      <c r="G130" s="511" t="s">
        <v>736</v>
      </c>
      <c r="H130" s="512">
        <v>1</v>
      </c>
      <c r="I130" s="512">
        <v>10</v>
      </c>
      <c r="J130" s="512"/>
      <c r="K130" s="513" t="s">
        <v>735</v>
      </c>
    </row>
    <row r="131" spans="1:11" ht="25" x14ac:dyDescent="0.35">
      <c r="A131" s="509"/>
      <c r="B131" s="503" t="s">
        <v>731</v>
      </c>
      <c r="C131" s="510" t="s">
        <v>320</v>
      </c>
      <c r="D131" s="509" t="s">
        <v>154</v>
      </c>
      <c r="E131" s="510"/>
      <c r="F131" s="510" t="s">
        <v>14</v>
      </c>
      <c r="G131" s="511" t="s">
        <v>734</v>
      </c>
      <c r="H131" s="512">
        <v>9</v>
      </c>
      <c r="I131" s="512"/>
      <c r="J131" s="512"/>
      <c r="K131" s="513"/>
    </row>
    <row r="132" spans="1:11" ht="37.5" x14ac:dyDescent="0.35">
      <c r="A132" s="509"/>
      <c r="B132" s="503" t="s">
        <v>731</v>
      </c>
      <c r="C132" s="510" t="s">
        <v>320</v>
      </c>
      <c r="D132" s="509" t="s">
        <v>321</v>
      </c>
      <c r="E132" s="510" t="s">
        <v>322</v>
      </c>
      <c r="F132" s="522" t="s">
        <v>14</v>
      </c>
      <c r="G132" s="510" t="s">
        <v>323</v>
      </c>
      <c r="H132" s="514"/>
      <c r="I132" s="514"/>
      <c r="J132" s="514"/>
      <c r="K132" s="532"/>
    </row>
    <row r="133" spans="1:11" ht="25" x14ac:dyDescent="0.35">
      <c r="A133" s="509"/>
      <c r="B133" s="503" t="s">
        <v>731</v>
      </c>
      <c r="C133" s="510" t="s">
        <v>324</v>
      </c>
      <c r="D133" s="509" t="s">
        <v>154</v>
      </c>
      <c r="E133" s="510"/>
      <c r="F133" s="522"/>
      <c r="G133" s="511" t="s">
        <v>733</v>
      </c>
      <c r="H133" s="512"/>
      <c r="I133" s="512"/>
      <c r="J133" s="512"/>
      <c r="K133" s="513"/>
    </row>
    <row r="134" spans="1:11" ht="25" x14ac:dyDescent="0.35">
      <c r="A134" s="509"/>
      <c r="B134" s="503" t="s">
        <v>731</v>
      </c>
      <c r="C134" s="510" t="s">
        <v>324</v>
      </c>
      <c r="D134" s="509" t="s">
        <v>326</v>
      </c>
      <c r="E134" s="510" t="s">
        <v>327</v>
      </c>
      <c r="F134" s="522" t="s">
        <v>14</v>
      </c>
      <c r="G134" s="511" t="s">
        <v>733</v>
      </c>
      <c r="H134" s="512"/>
      <c r="I134" s="512"/>
      <c r="J134" s="512"/>
      <c r="K134" s="513"/>
    </row>
    <row r="135" spans="1:11" x14ac:dyDescent="0.35">
      <c r="A135" s="509"/>
      <c r="B135" s="503" t="s">
        <v>731</v>
      </c>
      <c r="C135" s="510" t="s">
        <v>328</v>
      </c>
      <c r="D135" s="509" t="s">
        <v>154</v>
      </c>
      <c r="E135" s="510"/>
      <c r="F135" s="522"/>
      <c r="G135" s="511" t="s">
        <v>732</v>
      </c>
      <c r="H135" s="514"/>
      <c r="I135" s="514"/>
      <c r="J135" s="514"/>
      <c r="K135" s="532"/>
    </row>
    <row r="136" spans="1:11" x14ac:dyDescent="0.35">
      <c r="A136" s="509"/>
      <c r="B136" s="503" t="s">
        <v>731</v>
      </c>
      <c r="C136" s="510" t="s">
        <v>328</v>
      </c>
      <c r="D136" s="509" t="s">
        <v>330</v>
      </c>
      <c r="E136" s="510" t="s">
        <v>328</v>
      </c>
      <c r="F136" s="522" t="s">
        <v>14</v>
      </c>
      <c r="G136" s="511" t="s">
        <v>732</v>
      </c>
      <c r="H136" s="514"/>
      <c r="I136" s="514"/>
      <c r="J136" s="514"/>
      <c r="K136" s="532"/>
    </row>
    <row r="137" spans="1:11" ht="37.5" x14ac:dyDescent="0.35">
      <c r="A137" s="509"/>
      <c r="B137" s="503" t="s">
        <v>731</v>
      </c>
      <c r="C137" s="525" t="s">
        <v>331</v>
      </c>
      <c r="D137" s="526" t="s">
        <v>170</v>
      </c>
      <c r="E137" s="527"/>
      <c r="F137" s="525"/>
      <c r="G137" s="511" t="s">
        <v>730</v>
      </c>
      <c r="H137" s="512"/>
      <c r="I137" s="512" t="s">
        <v>177</v>
      </c>
      <c r="J137" s="512"/>
      <c r="K137" s="513"/>
    </row>
    <row r="138" spans="1:11" x14ac:dyDescent="0.35">
      <c r="A138" s="509"/>
      <c r="B138" s="503" t="s">
        <v>731</v>
      </c>
      <c r="C138" s="525" t="s">
        <v>331</v>
      </c>
      <c r="D138" s="526" t="s">
        <v>202</v>
      </c>
      <c r="E138" s="527" t="s">
        <v>333</v>
      </c>
      <c r="F138" s="525" t="s">
        <v>14</v>
      </c>
      <c r="G138" s="511" t="s">
        <v>730</v>
      </c>
      <c r="H138" s="512"/>
      <c r="I138" s="512"/>
      <c r="J138" s="512" t="s">
        <v>334</v>
      </c>
      <c r="K138" s="513"/>
    </row>
  </sheetData>
  <sheetProtection sheet="1" objects="1" scenarios="1"/>
  <mergeCells count="9">
    <mergeCell ref="H8:H12"/>
    <mergeCell ref="I8:I12"/>
    <mergeCell ref="A8:A12"/>
    <mergeCell ref="C8:C12"/>
    <mergeCell ref="D8:D12"/>
    <mergeCell ref="E8:E12"/>
    <mergeCell ref="F8:F12"/>
    <mergeCell ref="G8:G12"/>
    <mergeCell ref="B8:B12"/>
  </mergeCells>
  <hyperlinks>
    <hyperlink ref="K47" r:id="rId1" xr:uid="{20E431EB-CA2A-465E-94AE-B89CC20932DD}"/>
  </hyperlinks>
  <pageMargins left="0.7" right="0.7" top="0.75" bottom="0.7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8761B-4709-4171-87F3-5FD789BFD94C}">
  <dimension ref="A1:AH38"/>
  <sheetViews>
    <sheetView workbookViewId="0">
      <selection sqref="A1:XFD1048576"/>
    </sheetView>
  </sheetViews>
  <sheetFormatPr defaultColWidth="8.81640625" defaultRowHeight="13" x14ac:dyDescent="0.3"/>
  <cols>
    <col min="1" max="1" width="24.90625" style="431" customWidth="1"/>
    <col min="2" max="2" width="16.08984375" style="431" hidden="1" customWidth="1"/>
    <col min="3" max="3" width="23.36328125" style="431" bestFit="1" customWidth="1"/>
    <col min="4" max="4" width="25.90625" style="431" customWidth="1"/>
    <col min="5" max="5" width="17.81640625" style="431" customWidth="1"/>
    <col min="6" max="6" width="18.6328125" style="431" customWidth="1"/>
    <col min="7" max="7" width="15.1796875" style="431" customWidth="1"/>
    <col min="8" max="8" width="15.90625" style="431" customWidth="1"/>
    <col min="9" max="9" width="19.54296875" style="431" customWidth="1"/>
    <col min="10" max="10" width="25.54296875" style="431" bestFit="1" customWidth="1"/>
    <col min="11" max="11" width="14.36328125" style="431" customWidth="1"/>
    <col min="12" max="12" width="13.1796875" style="431" customWidth="1"/>
    <col min="13" max="13" width="13.81640625" style="431" bestFit="1" customWidth="1"/>
    <col min="14" max="14" width="13.54296875" style="431" customWidth="1"/>
    <col min="15" max="16" width="12.6328125" style="431" customWidth="1"/>
    <col min="17" max="17" width="13.81640625" style="431" customWidth="1"/>
    <col min="18" max="18" width="14.1796875" style="431" customWidth="1"/>
    <col min="19" max="19" width="12.6328125" style="431" customWidth="1"/>
    <col min="20" max="20" width="13.453125" style="431" customWidth="1"/>
    <col min="21" max="21" width="14.6328125" style="431" customWidth="1"/>
    <col min="22" max="22" width="21.81640625" style="431" customWidth="1"/>
    <col min="23" max="23" width="17.81640625" style="431" bestFit="1" customWidth="1"/>
    <col min="24" max="25" width="15.81640625" style="431" bestFit="1" customWidth="1"/>
    <col min="26" max="26" width="17.453125" style="431" bestFit="1" customWidth="1"/>
    <col min="27" max="27" width="15.81640625" style="431" bestFit="1" customWidth="1"/>
    <col min="28" max="29" width="17.81640625" style="431" bestFit="1" customWidth="1"/>
    <col min="30" max="30" width="15.81640625" style="431" bestFit="1" customWidth="1"/>
    <col min="31" max="31" width="15.08984375" style="431" bestFit="1" customWidth="1"/>
    <col min="32" max="32" width="17.453125" style="431" bestFit="1" customWidth="1"/>
    <col min="33" max="33" width="18.81640625" style="431" customWidth="1"/>
    <col min="34" max="34" width="17.81640625" style="431" bestFit="1" customWidth="1"/>
    <col min="35" max="16384" width="8.81640625" style="431"/>
  </cols>
  <sheetData>
    <row r="1" spans="1:34" ht="46.75" customHeight="1" thickBot="1" x14ac:dyDescent="0.35">
      <c r="A1" s="428"/>
      <c r="B1" s="429"/>
      <c r="C1" s="430"/>
      <c r="D1" s="898" t="s">
        <v>643</v>
      </c>
      <c r="E1" s="899"/>
      <c r="F1" s="899"/>
      <c r="G1" s="899"/>
      <c r="H1" s="899"/>
      <c r="I1" s="900"/>
      <c r="J1" s="901" t="s">
        <v>729</v>
      </c>
      <c r="K1" s="902"/>
      <c r="L1" s="902"/>
      <c r="M1" s="902"/>
      <c r="N1" s="902"/>
      <c r="O1" s="902"/>
      <c r="P1" s="902"/>
      <c r="Q1" s="902"/>
      <c r="R1" s="902"/>
      <c r="S1" s="902"/>
      <c r="T1" s="902"/>
      <c r="U1" s="902"/>
      <c r="V1" s="902"/>
      <c r="W1" s="901" t="s">
        <v>660</v>
      </c>
      <c r="X1" s="902"/>
      <c r="Y1" s="902"/>
      <c r="Z1" s="902"/>
      <c r="AA1" s="903"/>
      <c r="AB1" s="901" t="s">
        <v>728</v>
      </c>
      <c r="AC1" s="902"/>
      <c r="AD1" s="902"/>
      <c r="AE1" s="903"/>
      <c r="AF1" s="902" t="s">
        <v>727</v>
      </c>
      <c r="AG1" s="902"/>
      <c r="AH1" s="903"/>
    </row>
    <row r="2" spans="1:34" s="447" customFormat="1" ht="39.5" thickBot="1" x14ac:dyDescent="0.35">
      <c r="A2" s="432"/>
      <c r="B2" s="433" t="s">
        <v>635</v>
      </c>
      <c r="C2" s="434" t="s">
        <v>642</v>
      </c>
      <c r="D2" s="433" t="s">
        <v>726</v>
      </c>
      <c r="E2" s="435" t="s">
        <v>725</v>
      </c>
      <c r="F2" s="435" t="s">
        <v>645</v>
      </c>
      <c r="G2" s="435" t="s">
        <v>724</v>
      </c>
      <c r="H2" s="435" t="s">
        <v>647</v>
      </c>
      <c r="I2" s="436" t="s">
        <v>723</v>
      </c>
      <c r="J2" s="433" t="s">
        <v>648</v>
      </c>
      <c r="K2" s="437" t="s">
        <v>649</v>
      </c>
      <c r="L2" s="438" t="s">
        <v>650</v>
      </c>
      <c r="M2" s="438" t="s">
        <v>651</v>
      </c>
      <c r="N2" s="438" t="s">
        <v>652</v>
      </c>
      <c r="O2" s="438" t="s">
        <v>653</v>
      </c>
      <c r="P2" s="438" t="s">
        <v>654</v>
      </c>
      <c r="Q2" s="438" t="s">
        <v>655</v>
      </c>
      <c r="R2" s="438" t="s">
        <v>656</v>
      </c>
      <c r="S2" s="438" t="s">
        <v>657</v>
      </c>
      <c r="T2" s="438" t="s">
        <v>370</v>
      </c>
      <c r="U2" s="434" t="s">
        <v>658</v>
      </c>
      <c r="V2" s="439" t="s">
        <v>659</v>
      </c>
      <c r="W2" s="440" t="s">
        <v>660</v>
      </c>
      <c r="X2" s="441" t="s">
        <v>608</v>
      </c>
      <c r="Y2" s="441" t="s">
        <v>661</v>
      </c>
      <c r="Z2" s="441" t="s">
        <v>662</v>
      </c>
      <c r="AA2" s="442" t="s">
        <v>663</v>
      </c>
      <c r="AB2" s="440" t="s">
        <v>669</v>
      </c>
      <c r="AC2" s="443" t="s">
        <v>668</v>
      </c>
      <c r="AD2" s="443" t="s">
        <v>670</v>
      </c>
      <c r="AE2" s="444" t="s">
        <v>722</v>
      </c>
      <c r="AF2" s="445" t="s">
        <v>671</v>
      </c>
      <c r="AG2" s="436" t="s">
        <v>672</v>
      </c>
      <c r="AH2" s="446" t="s">
        <v>673</v>
      </c>
    </row>
    <row r="3" spans="1:34" x14ac:dyDescent="0.3">
      <c r="A3" s="448" t="s">
        <v>348</v>
      </c>
      <c r="B3" s="449">
        <v>15113701643.99</v>
      </c>
      <c r="C3" s="450">
        <v>1857114016.8099999</v>
      </c>
      <c r="D3" s="451">
        <f t="shared" ref="D3:AG3" si="0">D4+D19+D33</f>
        <v>2784240762</v>
      </c>
      <c r="E3" s="452">
        <f t="shared" si="0"/>
        <v>455477321</v>
      </c>
      <c r="F3" s="452">
        <f t="shared" si="0"/>
        <v>451146687</v>
      </c>
      <c r="G3" s="452">
        <f t="shared" si="0"/>
        <v>409147311</v>
      </c>
      <c r="H3" s="452">
        <f t="shared" si="0"/>
        <v>1364040752</v>
      </c>
      <c r="I3" s="453">
        <f t="shared" si="0"/>
        <v>104428691</v>
      </c>
      <c r="J3" s="449">
        <f>J4+J19+J33</f>
        <v>46842182.219999999</v>
      </c>
      <c r="K3" s="450">
        <f t="shared" si="0"/>
        <v>26452602.969999999</v>
      </c>
      <c r="L3" s="450">
        <f t="shared" si="0"/>
        <v>2320103.8600000003</v>
      </c>
      <c r="M3" s="450">
        <f t="shared" si="0"/>
        <v>8428299.6799999997</v>
      </c>
      <c r="N3" s="450">
        <f t="shared" si="0"/>
        <v>574447.39999999991</v>
      </c>
      <c r="O3" s="450">
        <f t="shared" si="0"/>
        <v>217059.82</v>
      </c>
      <c r="P3" s="450">
        <f t="shared" si="0"/>
        <v>4665805.63</v>
      </c>
      <c r="Q3" s="450">
        <f t="shared" si="0"/>
        <v>4959596.49</v>
      </c>
      <c r="R3" s="450">
        <f t="shared" si="0"/>
        <v>1118540.8500000001</v>
      </c>
      <c r="S3" s="450">
        <f t="shared" si="0"/>
        <v>2566929.4400000004</v>
      </c>
      <c r="T3" s="450">
        <f t="shared" si="0"/>
        <v>1601819.8</v>
      </c>
      <c r="U3" s="450">
        <f t="shared" si="0"/>
        <v>16927139.579999998</v>
      </c>
      <c r="V3" s="454">
        <f t="shared" si="0"/>
        <v>3462439.67</v>
      </c>
      <c r="W3" s="449">
        <f t="shared" si="0"/>
        <v>6794916930.0900002</v>
      </c>
      <c r="X3" s="450">
        <f t="shared" si="0"/>
        <v>1671634219.8000002</v>
      </c>
      <c r="Y3" s="450">
        <f t="shared" si="0"/>
        <v>751870500.76999998</v>
      </c>
      <c r="Z3" s="450">
        <f t="shared" si="0"/>
        <v>3061560513.4900002</v>
      </c>
      <c r="AA3" s="454">
        <f t="shared" si="0"/>
        <v>1309851696.03</v>
      </c>
      <c r="AB3" s="449">
        <f t="shared" si="0"/>
        <v>2906041512.8299999</v>
      </c>
      <c r="AC3" s="450">
        <f t="shared" si="0"/>
        <v>2732560124.23</v>
      </c>
      <c r="AD3" s="450">
        <f t="shared" si="0"/>
        <v>160661874.59</v>
      </c>
      <c r="AE3" s="454">
        <f t="shared" si="0"/>
        <v>12819514.010000002</v>
      </c>
      <c r="AF3" s="449">
        <f t="shared" si="0"/>
        <v>14104661885.59</v>
      </c>
      <c r="AG3" s="454">
        <f t="shared" si="0"/>
        <v>10062250065.33</v>
      </c>
      <c r="AH3" s="455">
        <f>AF3-AG3</f>
        <v>4042411820.2600002</v>
      </c>
    </row>
    <row r="4" spans="1:34" x14ac:dyDescent="0.3">
      <c r="A4" s="456" t="s">
        <v>349</v>
      </c>
      <c r="B4" s="457">
        <v>5671738975</v>
      </c>
      <c r="C4" s="457">
        <f t="shared" ref="C4:AF4" si="1">C5+C7+C9+C11+C13+C17</f>
        <v>221257442.43000001</v>
      </c>
      <c r="D4" s="457">
        <f t="shared" si="1"/>
        <v>1182647792</v>
      </c>
      <c r="E4" s="458">
        <f t="shared" si="1"/>
        <v>152638259</v>
      </c>
      <c r="F4" s="458">
        <f t="shared" si="1"/>
        <v>320665939</v>
      </c>
      <c r="G4" s="458">
        <f t="shared" si="1"/>
        <v>110373100</v>
      </c>
      <c r="H4" s="458">
        <f t="shared" si="1"/>
        <v>494541803</v>
      </c>
      <c r="I4" s="459">
        <f t="shared" si="1"/>
        <v>104428691</v>
      </c>
      <c r="J4" s="457">
        <f>J5+J7+J9+J11+J13+J17</f>
        <v>27936258.409999996</v>
      </c>
      <c r="K4" s="458">
        <f t="shared" si="1"/>
        <v>10360697.09</v>
      </c>
      <c r="L4" s="458">
        <f t="shared" si="1"/>
        <v>1051498.79</v>
      </c>
      <c r="M4" s="458">
        <f t="shared" si="1"/>
        <v>1306143.0699999998</v>
      </c>
      <c r="N4" s="458">
        <f t="shared" si="1"/>
        <v>295372.01</v>
      </c>
      <c r="O4" s="458">
        <f t="shared" si="1"/>
        <v>50913.9</v>
      </c>
      <c r="P4" s="458">
        <f t="shared" si="1"/>
        <v>2473710.2199999997</v>
      </c>
      <c r="Q4" s="458">
        <f t="shared" si="1"/>
        <v>3524116.2700000005</v>
      </c>
      <c r="R4" s="458">
        <f t="shared" si="1"/>
        <v>233086.85</v>
      </c>
      <c r="S4" s="458">
        <f t="shared" si="1"/>
        <v>379327.10000000003</v>
      </c>
      <c r="T4" s="458">
        <f t="shared" si="1"/>
        <v>1046528.88</v>
      </c>
      <c r="U4" s="458">
        <f t="shared" si="1"/>
        <v>16927139.579999998</v>
      </c>
      <c r="V4" s="459">
        <f t="shared" si="1"/>
        <v>648421.74</v>
      </c>
      <c r="W4" s="457">
        <f t="shared" si="1"/>
        <v>2476438877.4500003</v>
      </c>
      <c r="X4" s="458">
        <f t="shared" si="1"/>
        <v>464619734.44</v>
      </c>
      <c r="Y4" s="458">
        <f t="shared" si="1"/>
        <v>353261472.19</v>
      </c>
      <c r="Z4" s="458">
        <f t="shared" si="1"/>
        <v>1000810929.1999999</v>
      </c>
      <c r="AA4" s="459">
        <f t="shared" si="1"/>
        <v>657746741.61999989</v>
      </c>
      <c r="AB4" s="457">
        <f t="shared" si="1"/>
        <v>877674396.90999997</v>
      </c>
      <c r="AC4" s="458">
        <f t="shared" si="1"/>
        <v>831735716.03999996</v>
      </c>
      <c r="AD4" s="458">
        <f t="shared" si="1"/>
        <v>33119166.859999999</v>
      </c>
      <c r="AE4" s="459">
        <f t="shared" si="1"/>
        <v>12819514.010000002</v>
      </c>
      <c r="AF4" s="457">
        <f t="shared" si="1"/>
        <v>4785954767.1999998</v>
      </c>
      <c r="AG4" s="459">
        <f>AG5+AG7+AG9+AG11+AG13+AG17</f>
        <v>3296472309.54</v>
      </c>
      <c r="AH4" s="460"/>
    </row>
    <row r="5" spans="1:34" x14ac:dyDescent="0.3">
      <c r="A5" s="461" t="s">
        <v>351</v>
      </c>
      <c r="B5" s="462">
        <v>1267350185</v>
      </c>
      <c r="C5" s="462">
        <f t="shared" ref="C5:AG5" si="2">C6</f>
        <v>32400684.5</v>
      </c>
      <c r="D5" s="462">
        <f t="shared" si="2"/>
        <v>350270722</v>
      </c>
      <c r="E5" s="463">
        <f t="shared" si="2"/>
        <v>43233160</v>
      </c>
      <c r="F5" s="463">
        <f t="shared" si="2"/>
        <v>78929266</v>
      </c>
      <c r="G5" s="463">
        <f t="shared" si="2"/>
        <v>23968725</v>
      </c>
      <c r="H5" s="463">
        <f t="shared" si="2"/>
        <v>153464894</v>
      </c>
      <c r="I5" s="464">
        <f t="shared" si="2"/>
        <v>50674677</v>
      </c>
      <c r="J5" s="462">
        <f t="shared" si="2"/>
        <v>2582602.4</v>
      </c>
      <c r="K5" s="463">
        <f t="shared" si="2"/>
        <v>1985450.8399999999</v>
      </c>
      <c r="L5" s="463">
        <f t="shared" si="2"/>
        <v>179409.9</v>
      </c>
      <c r="M5" s="463">
        <f t="shared" si="2"/>
        <v>144914.49</v>
      </c>
      <c r="N5" s="463">
        <f t="shared" si="2"/>
        <v>108554.55</v>
      </c>
      <c r="O5" s="463">
        <f t="shared" si="2"/>
        <v>0</v>
      </c>
      <c r="P5" s="463">
        <f t="shared" si="2"/>
        <v>1036555.96</v>
      </c>
      <c r="Q5" s="463">
        <f t="shared" si="2"/>
        <v>45821</v>
      </c>
      <c r="R5" s="463">
        <f t="shared" si="2"/>
        <v>44042.89</v>
      </c>
      <c r="S5" s="463">
        <f t="shared" si="2"/>
        <v>98922.58</v>
      </c>
      <c r="T5" s="463">
        <f t="shared" si="2"/>
        <v>327229.46999999997</v>
      </c>
      <c r="U5" s="463">
        <f t="shared" si="2"/>
        <v>597151.56000000006</v>
      </c>
      <c r="V5" s="464">
        <f t="shared" si="2"/>
        <v>0</v>
      </c>
      <c r="W5" s="462">
        <f t="shared" si="2"/>
        <v>510969288.31</v>
      </c>
      <c r="X5" s="463">
        <f t="shared" si="2"/>
        <v>3123524.39</v>
      </c>
      <c r="Y5" s="463">
        <f t="shared" si="2"/>
        <v>8022056.6100000003</v>
      </c>
      <c r="Z5" s="463">
        <f t="shared" si="2"/>
        <v>333771778.92000002</v>
      </c>
      <c r="AA5" s="464">
        <f t="shared" si="2"/>
        <v>166051928.38999999</v>
      </c>
      <c r="AB5" s="462">
        <f t="shared" si="2"/>
        <v>493698802.99000001</v>
      </c>
      <c r="AC5" s="463">
        <f t="shared" si="2"/>
        <v>492047564.36000001</v>
      </c>
      <c r="AD5" s="463">
        <f t="shared" si="2"/>
        <v>0</v>
      </c>
      <c r="AE5" s="464">
        <f t="shared" si="2"/>
        <v>1651238.63</v>
      </c>
      <c r="AF5" s="462">
        <f>AF6</f>
        <v>1389922100.1999998</v>
      </c>
      <c r="AG5" s="464">
        <f t="shared" si="2"/>
        <v>731822607.44999993</v>
      </c>
      <c r="AH5" s="465"/>
    </row>
    <row r="6" spans="1:34" x14ac:dyDescent="0.3">
      <c r="A6" s="466" t="s">
        <v>352</v>
      </c>
      <c r="B6" s="467">
        <v>1207275939</v>
      </c>
      <c r="C6" s="468">
        <f>29812922.53+2587761.97</f>
        <v>32400684.5</v>
      </c>
      <c r="D6" s="467">
        <f>E6+F6+G6+H6+I6</f>
        <v>350270722</v>
      </c>
      <c r="E6" s="468">
        <f>40830885+2402275</f>
        <v>43233160</v>
      </c>
      <c r="F6" s="468">
        <f>46592790+32336476</f>
        <v>78929266</v>
      </c>
      <c r="G6" s="468">
        <f>21733582+2235143</f>
        <v>23968725</v>
      </c>
      <c r="H6" s="468">
        <f>103637342+49827552</f>
        <v>153464894</v>
      </c>
      <c r="I6" s="469">
        <f>22662300+28012377</f>
        <v>50674677</v>
      </c>
      <c r="J6" s="467">
        <f>K6+U6+V6</f>
        <v>2582602.4</v>
      </c>
      <c r="K6" s="468">
        <f>SUM(L6:T6)</f>
        <v>1985450.8399999999</v>
      </c>
      <c r="L6" s="468">
        <f>104922.7+74487.2</f>
        <v>179409.9</v>
      </c>
      <c r="M6" s="468">
        <f>55270.28+89644.21</f>
        <v>144914.49</v>
      </c>
      <c r="N6" s="468">
        <f>57465.55+51089</f>
        <v>108554.55</v>
      </c>
      <c r="O6" s="468">
        <f>0</f>
        <v>0</v>
      </c>
      <c r="P6" s="468">
        <f>148683.05+887872.91</f>
        <v>1036555.96</v>
      </c>
      <c r="Q6" s="468">
        <f>45821+0</f>
        <v>45821</v>
      </c>
      <c r="R6" s="468">
        <f>35707.89+8335</f>
        <v>44042.89</v>
      </c>
      <c r="S6" s="468">
        <f>9489.52+89433.06</f>
        <v>98922.58</v>
      </c>
      <c r="T6" s="468">
        <f>55166.75+272062.72</f>
        <v>327229.46999999997</v>
      </c>
      <c r="U6" s="468">
        <f>597151.56</f>
        <v>597151.56000000006</v>
      </c>
      <c r="V6" s="470">
        <v>0</v>
      </c>
      <c r="W6" s="467">
        <f>SUM(X6:AA6)</f>
        <v>510969288.31</v>
      </c>
      <c r="X6" s="468">
        <f>3123524.39</f>
        <v>3123524.39</v>
      </c>
      <c r="Y6" s="468">
        <f>8022056.61</f>
        <v>8022056.6100000003</v>
      </c>
      <c r="Z6" s="468">
        <f>333771778.92</f>
        <v>333771778.92000002</v>
      </c>
      <c r="AA6" s="470">
        <f>166051928.39</f>
        <v>166051928.38999999</v>
      </c>
      <c r="AB6" s="467">
        <f>SUM(AC6:AE6)</f>
        <v>493698802.99000001</v>
      </c>
      <c r="AC6" s="468">
        <f>228498862.11+263548702.25</f>
        <v>492047564.36000001</v>
      </c>
      <c r="AD6" s="468">
        <v>0</v>
      </c>
      <c r="AE6" s="470">
        <f>1260925.23+390313.4</f>
        <v>1651238.63</v>
      </c>
      <c r="AF6" s="467">
        <f>AB6+W6+J6+C6+D6</f>
        <v>1389922100.1999998</v>
      </c>
      <c r="AG6" s="470">
        <f>C6+D6+J6+X6+Y6+Z6+AD6+AE6</f>
        <v>731822607.44999993</v>
      </c>
      <c r="AH6" s="465"/>
    </row>
    <row r="7" spans="1:34" x14ac:dyDescent="0.3">
      <c r="A7" s="461" t="s">
        <v>354</v>
      </c>
      <c r="B7" s="462">
        <v>507296212</v>
      </c>
      <c r="C7" s="462">
        <f t="shared" ref="C7:AG7" si="3">C8</f>
        <v>11586391.439999999</v>
      </c>
      <c r="D7" s="462">
        <f t="shared" si="3"/>
        <v>132383635</v>
      </c>
      <c r="E7" s="463">
        <f t="shared" si="3"/>
        <v>38932478</v>
      </c>
      <c r="F7" s="463">
        <f t="shared" si="3"/>
        <v>12155505</v>
      </c>
      <c r="G7" s="463">
        <f t="shared" si="3"/>
        <v>3341942</v>
      </c>
      <c r="H7" s="463">
        <f t="shared" si="3"/>
        <v>58199696</v>
      </c>
      <c r="I7" s="464">
        <f t="shared" si="3"/>
        <v>19754014</v>
      </c>
      <c r="J7" s="462">
        <f t="shared" si="3"/>
        <v>898201.15000000014</v>
      </c>
      <c r="K7" s="463">
        <f t="shared" si="3"/>
        <v>898201.15000000014</v>
      </c>
      <c r="L7" s="463">
        <f t="shared" si="3"/>
        <v>3605.28</v>
      </c>
      <c r="M7" s="463">
        <f t="shared" si="3"/>
        <v>382774.75</v>
      </c>
      <c r="N7" s="463">
        <f t="shared" si="3"/>
        <v>12029.6</v>
      </c>
      <c r="O7" s="463">
        <f t="shared" si="3"/>
        <v>0</v>
      </c>
      <c r="P7" s="463">
        <f t="shared" si="3"/>
        <v>92150.55</v>
      </c>
      <c r="Q7" s="463">
        <f t="shared" si="3"/>
        <v>135707.64000000001</v>
      </c>
      <c r="R7" s="463">
        <f t="shared" si="3"/>
        <v>35450.18</v>
      </c>
      <c r="S7" s="463">
        <f t="shared" si="3"/>
        <v>76117.62</v>
      </c>
      <c r="T7" s="463">
        <f t="shared" si="3"/>
        <v>160365.53</v>
      </c>
      <c r="U7" s="463">
        <f t="shared" si="3"/>
        <v>0</v>
      </c>
      <c r="V7" s="464">
        <f t="shared" si="3"/>
        <v>0</v>
      </c>
      <c r="W7" s="462">
        <f t="shared" si="3"/>
        <v>128524528.13</v>
      </c>
      <c r="X7" s="463">
        <f t="shared" si="3"/>
        <v>2066706.71</v>
      </c>
      <c r="Y7" s="463">
        <f t="shared" si="3"/>
        <v>38999265.380000003</v>
      </c>
      <c r="Z7" s="463">
        <f t="shared" si="3"/>
        <v>54282309.289999999</v>
      </c>
      <c r="AA7" s="464">
        <f t="shared" si="3"/>
        <v>33176246.75</v>
      </c>
      <c r="AB7" s="462">
        <f t="shared" si="3"/>
        <v>40375135.039999999</v>
      </c>
      <c r="AC7" s="463">
        <f t="shared" si="3"/>
        <v>12725559.65</v>
      </c>
      <c r="AD7" s="463">
        <f t="shared" si="3"/>
        <v>27649575.390000001</v>
      </c>
      <c r="AE7" s="464">
        <f t="shared" si="3"/>
        <v>0</v>
      </c>
      <c r="AF7" s="462">
        <f t="shared" si="3"/>
        <v>313767890.75999999</v>
      </c>
      <c r="AG7" s="464">
        <f t="shared" si="3"/>
        <v>267866084.36000001</v>
      </c>
      <c r="AH7" s="465"/>
    </row>
    <row r="8" spans="1:34" x14ac:dyDescent="0.3">
      <c r="A8" s="471" t="s">
        <v>355</v>
      </c>
      <c r="B8" s="472">
        <v>507296212</v>
      </c>
      <c r="C8" s="473">
        <v>11586391.439999999</v>
      </c>
      <c r="D8" s="472">
        <f>E8+F8+G8+H8+I8</f>
        <v>132383635</v>
      </c>
      <c r="E8" s="473">
        <v>38932478</v>
      </c>
      <c r="F8" s="473">
        <v>12155505</v>
      </c>
      <c r="G8" s="473">
        <v>3341942</v>
      </c>
      <c r="H8" s="473">
        <v>58199696</v>
      </c>
      <c r="I8" s="474">
        <v>19754014</v>
      </c>
      <c r="J8" s="472">
        <f>K8+U8+V8</f>
        <v>898201.15000000014</v>
      </c>
      <c r="K8" s="475">
        <f>SUM(L8:T8)</f>
        <v>898201.15000000014</v>
      </c>
      <c r="L8" s="476">
        <v>3605.28</v>
      </c>
      <c r="M8" s="476">
        <v>382774.75</v>
      </c>
      <c r="N8" s="476">
        <v>12029.6</v>
      </c>
      <c r="O8" s="476">
        <v>0</v>
      </c>
      <c r="P8" s="476">
        <v>92150.55</v>
      </c>
      <c r="Q8" s="476">
        <v>135707.64000000001</v>
      </c>
      <c r="R8" s="476">
        <v>35450.18</v>
      </c>
      <c r="S8" s="476">
        <v>76117.62</v>
      </c>
      <c r="T8" s="476">
        <v>160365.53</v>
      </c>
      <c r="U8" s="477">
        <v>0</v>
      </c>
      <c r="V8" s="460">
        <v>0</v>
      </c>
      <c r="W8" s="472">
        <f>SUM(X8:AA8)</f>
        <v>128524528.13</v>
      </c>
      <c r="X8" s="473">
        <v>2066706.71</v>
      </c>
      <c r="Y8" s="473">
        <v>38999265.380000003</v>
      </c>
      <c r="Z8" s="473">
        <v>54282309.289999999</v>
      </c>
      <c r="AA8" s="460">
        <v>33176246.75</v>
      </c>
      <c r="AB8" s="472">
        <f>SUM(AC8:AE8)</f>
        <v>40375135.039999999</v>
      </c>
      <c r="AC8" s="473">
        <v>12725559.65</v>
      </c>
      <c r="AD8" s="473">
        <v>27649575.390000001</v>
      </c>
      <c r="AE8" s="460"/>
      <c r="AF8" s="472">
        <f>AB8+W8+J8+C8+D8</f>
        <v>313767890.75999999</v>
      </c>
      <c r="AG8" s="460">
        <f>C8+D8+J8+X8+Y8+Z8+AD8+AE8</f>
        <v>267866084.36000001</v>
      </c>
      <c r="AH8" s="465"/>
    </row>
    <row r="9" spans="1:34" x14ac:dyDescent="0.3">
      <c r="A9" s="461" t="s">
        <v>356</v>
      </c>
      <c r="B9" s="462">
        <v>1438993966</v>
      </c>
      <c r="C9" s="462">
        <f t="shared" ref="C9:AG9" si="4">C10</f>
        <v>53281481.140000001</v>
      </c>
      <c r="D9" s="462">
        <f t="shared" si="4"/>
        <v>217008941</v>
      </c>
      <c r="E9" s="463">
        <f t="shared" si="4"/>
        <v>20000000</v>
      </c>
      <c r="F9" s="463">
        <f t="shared" si="4"/>
        <v>57121655</v>
      </c>
      <c r="G9" s="463">
        <f t="shared" si="4"/>
        <v>37312670</v>
      </c>
      <c r="H9" s="463">
        <f t="shared" si="4"/>
        <v>84574616</v>
      </c>
      <c r="I9" s="464">
        <f t="shared" si="4"/>
        <v>18000000</v>
      </c>
      <c r="J9" s="462">
        <f t="shared" si="4"/>
        <v>19102115.089999996</v>
      </c>
      <c r="K9" s="463">
        <f t="shared" si="4"/>
        <v>2750011.31</v>
      </c>
      <c r="L9" s="463">
        <f t="shared" si="4"/>
        <v>5909.6</v>
      </c>
      <c r="M9" s="463">
        <f t="shared" si="4"/>
        <v>203368.98</v>
      </c>
      <c r="N9" s="463">
        <f t="shared" si="4"/>
        <v>78260</v>
      </c>
      <c r="O9" s="463">
        <f t="shared" si="4"/>
        <v>22400</v>
      </c>
      <c r="P9" s="463">
        <f t="shared" si="4"/>
        <v>114076</v>
      </c>
      <c r="Q9" s="463">
        <f t="shared" si="4"/>
        <v>2068362.73</v>
      </c>
      <c r="R9" s="463">
        <f t="shared" si="4"/>
        <v>147159</v>
      </c>
      <c r="S9" s="463">
        <f t="shared" si="4"/>
        <v>100366</v>
      </c>
      <c r="T9" s="463">
        <f t="shared" si="4"/>
        <v>10109</v>
      </c>
      <c r="U9" s="463">
        <f t="shared" si="4"/>
        <v>15703691.039999999</v>
      </c>
      <c r="V9" s="464">
        <f t="shared" si="4"/>
        <v>648412.74</v>
      </c>
      <c r="W9" s="462">
        <f t="shared" si="4"/>
        <v>250279429.51999998</v>
      </c>
      <c r="X9" s="463">
        <f t="shared" si="4"/>
        <v>55020929.590000004</v>
      </c>
      <c r="Y9" s="463">
        <f t="shared" si="4"/>
        <v>0</v>
      </c>
      <c r="Z9" s="463">
        <f t="shared" si="4"/>
        <v>58734997.170000002</v>
      </c>
      <c r="AA9" s="464">
        <f t="shared" si="4"/>
        <v>136523502.75999999</v>
      </c>
      <c r="AB9" s="462">
        <f t="shared" si="4"/>
        <v>295500000</v>
      </c>
      <c r="AC9" s="463">
        <f t="shared" si="4"/>
        <v>295500000</v>
      </c>
      <c r="AD9" s="463">
        <f t="shared" si="4"/>
        <v>0</v>
      </c>
      <c r="AE9" s="464">
        <f t="shared" si="4"/>
        <v>0</v>
      </c>
      <c r="AF9" s="462">
        <f t="shared" si="4"/>
        <v>835171966.75</v>
      </c>
      <c r="AG9" s="464">
        <f t="shared" si="4"/>
        <v>403148463.98999995</v>
      </c>
      <c r="AH9" s="465"/>
    </row>
    <row r="10" spans="1:34" x14ac:dyDescent="0.3">
      <c r="A10" s="471" t="s">
        <v>357</v>
      </c>
      <c r="B10" s="472">
        <v>1438993966</v>
      </c>
      <c r="C10" s="473">
        <v>53281481.140000001</v>
      </c>
      <c r="D10" s="472">
        <f>E10+F10+G10+H10+I10</f>
        <v>217008941</v>
      </c>
      <c r="E10" s="473">
        <v>20000000</v>
      </c>
      <c r="F10" s="473">
        <v>57121655</v>
      </c>
      <c r="G10" s="473">
        <v>37312670</v>
      </c>
      <c r="H10" s="473">
        <v>84574616</v>
      </c>
      <c r="I10" s="474">
        <v>18000000</v>
      </c>
      <c r="J10" s="472">
        <f>K10+U10+V10</f>
        <v>19102115.089999996</v>
      </c>
      <c r="K10" s="473">
        <f>SUM(L10:T10)</f>
        <v>2750011.31</v>
      </c>
      <c r="L10" s="473">
        <v>5909.6</v>
      </c>
      <c r="M10" s="473">
        <v>203368.98</v>
      </c>
      <c r="N10" s="473">
        <v>78260</v>
      </c>
      <c r="O10" s="473">
        <v>22400</v>
      </c>
      <c r="P10" s="473">
        <v>114076</v>
      </c>
      <c r="Q10" s="473">
        <v>2068362.73</v>
      </c>
      <c r="R10" s="473">
        <v>147159</v>
      </c>
      <c r="S10" s="473">
        <v>100366</v>
      </c>
      <c r="T10" s="473">
        <v>10109</v>
      </c>
      <c r="U10" s="473">
        <v>15703691.039999999</v>
      </c>
      <c r="V10" s="460">
        <v>648412.74</v>
      </c>
      <c r="W10" s="472">
        <f>SUM(X10:AA10)</f>
        <v>250279429.51999998</v>
      </c>
      <c r="X10" s="473">
        <v>55020929.590000004</v>
      </c>
      <c r="Y10" s="473">
        <v>0</v>
      </c>
      <c r="Z10" s="473">
        <v>58734997.170000002</v>
      </c>
      <c r="AA10" s="460">
        <v>136523502.75999999</v>
      </c>
      <c r="AB10" s="472">
        <f>SUM(AC10:AE10)</f>
        <v>295500000</v>
      </c>
      <c r="AC10" s="473">
        <v>295500000</v>
      </c>
      <c r="AD10" s="473">
        <v>0</v>
      </c>
      <c r="AE10" s="460">
        <v>0</v>
      </c>
      <c r="AF10" s="472">
        <f>AB10+W10+J10+C10+D10</f>
        <v>835171966.75</v>
      </c>
      <c r="AG10" s="460">
        <f>C10+D10+J10+X10+Y10+Z10+AD10+AE10</f>
        <v>403148463.98999995</v>
      </c>
      <c r="AH10" s="465"/>
    </row>
    <row r="11" spans="1:34" x14ac:dyDescent="0.3">
      <c r="A11" s="461" t="s">
        <v>358</v>
      </c>
      <c r="B11" s="462">
        <v>408989869</v>
      </c>
      <c r="C11" s="462">
        <f t="shared" ref="C11:AG11" si="5">C12</f>
        <v>25142376.940000001</v>
      </c>
      <c r="D11" s="462">
        <f t="shared" si="5"/>
        <v>51722707</v>
      </c>
      <c r="E11" s="463">
        <f t="shared" si="5"/>
        <v>10629870</v>
      </c>
      <c r="F11" s="463">
        <f t="shared" si="5"/>
        <v>20729896</v>
      </c>
      <c r="G11" s="463">
        <f t="shared" si="5"/>
        <v>45333</v>
      </c>
      <c r="H11" s="463">
        <f t="shared" si="5"/>
        <v>20317608</v>
      </c>
      <c r="I11" s="464">
        <f t="shared" si="5"/>
        <v>0</v>
      </c>
      <c r="J11" s="462">
        <f t="shared" si="5"/>
        <v>1140021.3899999999</v>
      </c>
      <c r="K11" s="463">
        <f t="shared" si="5"/>
        <v>1140021.3899999999</v>
      </c>
      <c r="L11" s="463">
        <f t="shared" si="5"/>
        <v>0</v>
      </c>
      <c r="M11" s="463">
        <f t="shared" si="5"/>
        <v>0</v>
      </c>
      <c r="N11" s="463">
        <f t="shared" si="5"/>
        <v>10000</v>
      </c>
      <c r="O11" s="463">
        <f t="shared" si="5"/>
        <v>8000</v>
      </c>
      <c r="P11" s="463">
        <f t="shared" si="5"/>
        <v>1078521.3899999999</v>
      </c>
      <c r="Q11" s="463">
        <f t="shared" si="5"/>
        <v>40000</v>
      </c>
      <c r="R11" s="463">
        <f t="shared" si="5"/>
        <v>0</v>
      </c>
      <c r="S11" s="463">
        <f t="shared" si="5"/>
        <v>1500</v>
      </c>
      <c r="T11" s="463">
        <f t="shared" si="5"/>
        <v>2000</v>
      </c>
      <c r="U11" s="463">
        <f t="shared" si="5"/>
        <v>0</v>
      </c>
      <c r="V11" s="464">
        <f t="shared" si="5"/>
        <v>0</v>
      </c>
      <c r="W11" s="462">
        <f t="shared" si="5"/>
        <v>192572948.95999998</v>
      </c>
      <c r="X11" s="463">
        <f t="shared" si="5"/>
        <v>1160709.1299999999</v>
      </c>
      <c r="Y11" s="463">
        <f t="shared" si="5"/>
        <v>4796889.51</v>
      </c>
      <c r="Z11" s="463">
        <f t="shared" si="5"/>
        <v>75285311.469999999</v>
      </c>
      <c r="AA11" s="464">
        <f t="shared" si="5"/>
        <v>111330038.84999999</v>
      </c>
      <c r="AB11" s="462">
        <f t="shared" si="5"/>
        <v>25452740</v>
      </c>
      <c r="AC11" s="463">
        <f t="shared" si="5"/>
        <v>16839615.239999998</v>
      </c>
      <c r="AD11" s="463">
        <f t="shared" si="5"/>
        <v>0</v>
      </c>
      <c r="AE11" s="464">
        <f t="shared" si="5"/>
        <v>8613124.7599999998</v>
      </c>
      <c r="AF11" s="462">
        <f t="shared" si="5"/>
        <v>296030794.28999996</v>
      </c>
      <c r="AG11" s="464">
        <f t="shared" si="5"/>
        <v>167861140.19999999</v>
      </c>
      <c r="AH11" s="465"/>
    </row>
    <row r="12" spans="1:34" x14ac:dyDescent="0.3">
      <c r="A12" s="471" t="s">
        <v>359</v>
      </c>
      <c r="B12" s="472">
        <v>408989869</v>
      </c>
      <c r="C12" s="473">
        <v>25142376.940000001</v>
      </c>
      <c r="D12" s="472">
        <f>E12+F12+G12+H12+I12</f>
        <v>51722707</v>
      </c>
      <c r="E12" s="473">
        <v>10629870</v>
      </c>
      <c r="F12" s="473">
        <v>20729896</v>
      </c>
      <c r="G12" s="473">
        <v>45333</v>
      </c>
      <c r="H12" s="473">
        <v>20317608</v>
      </c>
      <c r="I12" s="474"/>
      <c r="J12" s="472">
        <f>K12+U12+V12</f>
        <v>1140021.3899999999</v>
      </c>
      <c r="K12" s="473">
        <f>SUM(L12:T12)</f>
        <v>1140021.3899999999</v>
      </c>
      <c r="L12" s="473">
        <v>0</v>
      </c>
      <c r="M12" s="473">
        <v>0</v>
      </c>
      <c r="N12" s="473">
        <v>10000</v>
      </c>
      <c r="O12" s="473">
        <v>8000</v>
      </c>
      <c r="P12" s="473">
        <v>1078521.3899999999</v>
      </c>
      <c r="Q12" s="473">
        <v>40000</v>
      </c>
      <c r="R12" s="473">
        <v>0</v>
      </c>
      <c r="S12" s="473">
        <v>1500</v>
      </c>
      <c r="T12" s="473">
        <v>2000</v>
      </c>
      <c r="U12" s="473">
        <v>0</v>
      </c>
      <c r="V12" s="460">
        <v>0</v>
      </c>
      <c r="W12" s="472">
        <f>SUM(X12:AA12)</f>
        <v>192572948.95999998</v>
      </c>
      <c r="X12" s="473">
        <v>1160709.1299999999</v>
      </c>
      <c r="Y12" s="473">
        <v>4796889.51</v>
      </c>
      <c r="Z12" s="473">
        <v>75285311.469999999</v>
      </c>
      <c r="AA12" s="460">
        <v>111330038.84999999</v>
      </c>
      <c r="AB12" s="472">
        <f>SUM(AC12:AE12)</f>
        <v>25452740</v>
      </c>
      <c r="AC12" s="473">
        <v>16839615.239999998</v>
      </c>
      <c r="AD12" s="473">
        <v>0</v>
      </c>
      <c r="AE12" s="460">
        <v>8613124.7599999998</v>
      </c>
      <c r="AF12" s="478">
        <f>AB12+W12+J12+C12+D12</f>
        <v>296030794.28999996</v>
      </c>
      <c r="AG12" s="465">
        <f>C12+D12+J12+X12+Y12+Z12+AD12+AE12</f>
        <v>167861140.19999999</v>
      </c>
      <c r="AH12" s="465"/>
    </row>
    <row r="13" spans="1:34" x14ac:dyDescent="0.3">
      <c r="A13" s="461" t="s">
        <v>360</v>
      </c>
      <c r="B13" s="479">
        <v>1215001680</v>
      </c>
      <c r="C13" s="462">
        <f t="shared" ref="C13:AG13" si="6">C14+C15+C16</f>
        <v>61804401.420000002</v>
      </c>
      <c r="D13" s="462">
        <f t="shared" si="6"/>
        <v>204050171</v>
      </c>
      <c r="E13" s="463">
        <f t="shared" si="6"/>
        <v>25494019</v>
      </c>
      <c r="F13" s="463">
        <f t="shared" si="6"/>
        <v>72073575</v>
      </c>
      <c r="G13" s="463">
        <f t="shared" si="6"/>
        <v>18735985</v>
      </c>
      <c r="H13" s="463">
        <f t="shared" si="6"/>
        <v>71746592</v>
      </c>
      <c r="I13" s="464">
        <f t="shared" si="6"/>
        <v>16000000</v>
      </c>
      <c r="J13" s="462">
        <f t="shared" si="6"/>
        <v>3813112.05</v>
      </c>
      <c r="K13" s="463">
        <f t="shared" si="6"/>
        <v>3188295.06</v>
      </c>
      <c r="L13" s="463">
        <f t="shared" si="6"/>
        <v>853683.7</v>
      </c>
      <c r="M13" s="463">
        <f t="shared" si="6"/>
        <v>570087.66</v>
      </c>
      <c r="N13" s="463">
        <f t="shared" si="6"/>
        <v>86527.86</v>
      </c>
      <c r="O13" s="463">
        <f t="shared" si="6"/>
        <v>20513.900000000001</v>
      </c>
      <c r="P13" s="463">
        <f t="shared" si="6"/>
        <v>152406.31999999998</v>
      </c>
      <c r="Q13" s="463">
        <f t="shared" si="6"/>
        <v>884773.14</v>
      </c>
      <c r="R13" s="463">
        <f t="shared" si="6"/>
        <v>6434.78</v>
      </c>
      <c r="S13" s="463">
        <f t="shared" si="6"/>
        <v>79218.819999999992</v>
      </c>
      <c r="T13" s="463">
        <f t="shared" si="6"/>
        <v>534648.88</v>
      </c>
      <c r="U13" s="463">
        <f t="shared" si="6"/>
        <v>624807.99</v>
      </c>
      <c r="V13" s="464">
        <f t="shared" si="6"/>
        <v>9</v>
      </c>
      <c r="W13" s="462">
        <f t="shared" si="6"/>
        <v>1015491795.73</v>
      </c>
      <c r="X13" s="463">
        <f t="shared" si="6"/>
        <v>400075676.81</v>
      </c>
      <c r="Y13" s="463">
        <f t="shared" si="6"/>
        <v>277593905.64999998</v>
      </c>
      <c r="Z13" s="463">
        <f t="shared" si="6"/>
        <v>202635029.20999998</v>
      </c>
      <c r="AA13" s="464">
        <f t="shared" si="6"/>
        <v>135187184.06</v>
      </c>
      <c r="AB13" s="462">
        <f t="shared" si="6"/>
        <v>22647718.879999999</v>
      </c>
      <c r="AC13" s="463">
        <f t="shared" si="6"/>
        <v>14622976.789999999</v>
      </c>
      <c r="AD13" s="463">
        <f t="shared" si="6"/>
        <v>5469591.4699999997</v>
      </c>
      <c r="AE13" s="464">
        <f t="shared" si="6"/>
        <v>2555150.62</v>
      </c>
      <c r="AF13" s="462">
        <f t="shared" si="6"/>
        <v>1307807199.0799999</v>
      </c>
      <c r="AG13" s="464">
        <f t="shared" si="6"/>
        <v>1157997038.23</v>
      </c>
      <c r="AH13" s="465"/>
    </row>
    <row r="14" spans="1:34" x14ac:dyDescent="0.3">
      <c r="A14" s="466" t="s">
        <v>361</v>
      </c>
      <c r="B14" s="467">
        <v>237245333</v>
      </c>
      <c r="C14" s="468">
        <v>20404250.859999999</v>
      </c>
      <c r="D14" s="467">
        <f>E14+F14+G14+H14+I14</f>
        <v>63558268</v>
      </c>
      <c r="E14" s="468">
        <v>10882611</v>
      </c>
      <c r="F14" s="468">
        <v>26887507</v>
      </c>
      <c r="G14" s="468">
        <v>9644341</v>
      </c>
      <c r="H14" s="468">
        <v>16143809</v>
      </c>
      <c r="I14" s="469">
        <v>0</v>
      </c>
      <c r="J14" s="467">
        <f>K14+U14+V14</f>
        <v>1459256.71</v>
      </c>
      <c r="K14" s="468">
        <f>SUM(L14:T14)</f>
        <v>950838.46000000008</v>
      </c>
      <c r="L14" s="480">
        <v>268581.89</v>
      </c>
      <c r="M14" s="480">
        <v>332915.62</v>
      </c>
      <c r="N14" s="480">
        <v>1163.5</v>
      </c>
      <c r="O14" s="480">
        <v>4342.3999999999996</v>
      </c>
      <c r="P14" s="480">
        <v>80055.81</v>
      </c>
      <c r="Q14" s="480">
        <v>6602.17</v>
      </c>
      <c r="R14" s="480">
        <v>6434.78</v>
      </c>
      <c r="S14" s="480">
        <v>67984.89</v>
      </c>
      <c r="T14" s="480">
        <v>182757.4</v>
      </c>
      <c r="U14" s="468">
        <v>508418.25</v>
      </c>
      <c r="V14" s="470"/>
      <c r="W14" s="467">
        <f>SUM(X14:AA14)</f>
        <v>161686837</v>
      </c>
      <c r="X14" s="468">
        <v>1510128</v>
      </c>
      <c r="Y14" s="468">
        <v>21575011</v>
      </c>
      <c r="Z14" s="468">
        <v>88258233</v>
      </c>
      <c r="AA14" s="470">
        <v>50343465</v>
      </c>
      <c r="AB14" s="467">
        <f>SUM(AC14:AE14)</f>
        <v>0</v>
      </c>
      <c r="AC14" s="468"/>
      <c r="AD14" s="468"/>
      <c r="AE14" s="470"/>
      <c r="AF14" s="467">
        <f>AB14+W14+J14+C14+D14</f>
        <v>247108612.56999999</v>
      </c>
      <c r="AG14" s="470">
        <f>C14+D14+J14+X14+Y14+Z14+AD14+AE14</f>
        <v>196765147.56999999</v>
      </c>
      <c r="AH14" s="481"/>
    </row>
    <row r="15" spans="1:34" x14ac:dyDescent="0.3">
      <c r="A15" s="471" t="s">
        <v>362</v>
      </c>
      <c r="B15" s="472">
        <v>406593778</v>
      </c>
      <c r="C15" s="473">
        <v>6229024.8499999996</v>
      </c>
      <c r="D15" s="472">
        <f>E15+F15+G15+H15+I15</f>
        <v>26446020</v>
      </c>
      <c r="E15" s="473">
        <v>2490554</v>
      </c>
      <c r="F15" s="473">
        <v>6057563</v>
      </c>
      <c r="G15" s="473">
        <v>1686212</v>
      </c>
      <c r="H15" s="473">
        <v>211691</v>
      </c>
      <c r="I15" s="474">
        <v>16000000</v>
      </c>
      <c r="J15" s="472">
        <f>K15+U15+V15</f>
        <v>473952.42999999993</v>
      </c>
      <c r="K15" s="473">
        <f>SUM(L15:T15)</f>
        <v>444405.13999999996</v>
      </c>
      <c r="L15" s="473">
        <v>111649.15</v>
      </c>
      <c r="M15" s="473">
        <v>165746.81</v>
      </c>
      <c r="N15" s="473">
        <v>0</v>
      </c>
      <c r="O15" s="473">
        <v>16171.5</v>
      </c>
      <c r="P15" s="473">
        <v>55964.17</v>
      </c>
      <c r="Q15" s="473">
        <v>40642.31</v>
      </c>
      <c r="R15" s="473">
        <v>0</v>
      </c>
      <c r="S15" s="473">
        <v>603.87</v>
      </c>
      <c r="T15" s="473">
        <v>53627.33</v>
      </c>
      <c r="U15" s="473">
        <v>29538.29</v>
      </c>
      <c r="V15" s="460">
        <v>9</v>
      </c>
      <c r="W15" s="472">
        <f>SUM(X15:AA15)</f>
        <v>33996540.979999997</v>
      </c>
      <c r="X15" s="473">
        <v>679864.17</v>
      </c>
      <c r="Y15" s="473">
        <v>2215225.65</v>
      </c>
      <c r="Z15" s="473">
        <v>21375201.739999998</v>
      </c>
      <c r="AA15" s="460">
        <v>9726249.4199999999</v>
      </c>
      <c r="AB15" s="472">
        <f>SUM(AC15:AE15)</f>
        <v>0</v>
      </c>
      <c r="AC15" s="473">
        <v>0</v>
      </c>
      <c r="AD15" s="473">
        <v>0</v>
      </c>
      <c r="AE15" s="460">
        <v>0</v>
      </c>
      <c r="AF15" s="472">
        <f>AB15+W15+J15+C15+D15</f>
        <v>67145538.25999999</v>
      </c>
      <c r="AG15" s="460">
        <f>C15+D15+J15+X15+Y15+Z15+AD15+AE15</f>
        <v>57419288.840000004</v>
      </c>
      <c r="AH15" s="465"/>
    </row>
    <row r="16" spans="1:34" x14ac:dyDescent="0.3">
      <c r="A16" s="471" t="s">
        <v>363</v>
      </c>
      <c r="B16" s="472">
        <v>571162569</v>
      </c>
      <c r="C16" s="473">
        <v>35171125.710000001</v>
      </c>
      <c r="D16" s="472">
        <f>E16+F16+G16+H16+I16</f>
        <v>114045883</v>
      </c>
      <c r="E16" s="473">
        <v>12120854</v>
      </c>
      <c r="F16" s="473">
        <v>39128505</v>
      </c>
      <c r="G16" s="473">
        <v>7405432</v>
      </c>
      <c r="H16" s="473">
        <v>55391092</v>
      </c>
      <c r="I16" s="474">
        <v>0</v>
      </c>
      <c r="J16" s="472">
        <f>K16+U16+V16</f>
        <v>1879902.91</v>
      </c>
      <c r="K16" s="473">
        <f>SUM(L16:T16)</f>
        <v>1793051.46</v>
      </c>
      <c r="L16" s="482">
        <v>473452.66</v>
      </c>
      <c r="M16" s="482">
        <v>71425.23</v>
      </c>
      <c r="N16" s="482">
        <v>85364.36</v>
      </c>
      <c r="O16" s="482">
        <v>0</v>
      </c>
      <c r="P16" s="482">
        <v>16386.34</v>
      </c>
      <c r="Q16" s="482">
        <v>837528.66</v>
      </c>
      <c r="R16" s="482">
        <v>0</v>
      </c>
      <c r="S16" s="482">
        <v>10630.06</v>
      </c>
      <c r="T16" s="473">
        <v>298264.15000000002</v>
      </c>
      <c r="U16" s="473">
        <v>86851.45</v>
      </c>
      <c r="V16" s="460">
        <v>0</v>
      </c>
      <c r="W16" s="472">
        <f>SUM(X16:AA16)</f>
        <v>819808417.75</v>
      </c>
      <c r="X16" s="473">
        <v>397885684.63999999</v>
      </c>
      <c r="Y16" s="473">
        <v>253803669</v>
      </c>
      <c r="Z16" s="473">
        <v>93001594.469999999</v>
      </c>
      <c r="AA16" s="460">
        <v>75117469.640000001</v>
      </c>
      <c r="AB16" s="472">
        <f>SUM(AC16:AE16)</f>
        <v>22647718.879999999</v>
      </c>
      <c r="AC16" s="473">
        <v>14622976.789999999</v>
      </c>
      <c r="AD16" s="473">
        <v>5469591.4699999997</v>
      </c>
      <c r="AE16" s="460">
        <v>2555150.62</v>
      </c>
      <c r="AF16" s="472">
        <f>AB16+W16+J16+C16+D16</f>
        <v>993553048.25</v>
      </c>
      <c r="AG16" s="460">
        <f>C16+D16+J16+X16+Y16+Z16+AD16+AE16</f>
        <v>903812601.82000005</v>
      </c>
      <c r="AH16" s="465"/>
    </row>
    <row r="17" spans="1:34" x14ac:dyDescent="0.3">
      <c r="A17" s="461" t="s">
        <v>364</v>
      </c>
      <c r="B17" s="462">
        <v>834107063</v>
      </c>
      <c r="C17" s="462">
        <f t="shared" ref="C17:AG17" si="7">C18</f>
        <v>37042106.990000002</v>
      </c>
      <c r="D17" s="462">
        <f t="shared" si="7"/>
        <v>227211616</v>
      </c>
      <c r="E17" s="463">
        <f t="shared" si="7"/>
        <v>14348732</v>
      </c>
      <c r="F17" s="463">
        <f t="shared" si="7"/>
        <v>79656042</v>
      </c>
      <c r="G17" s="463">
        <f t="shared" si="7"/>
        <v>26968445</v>
      </c>
      <c r="H17" s="463">
        <f t="shared" si="7"/>
        <v>106238397</v>
      </c>
      <c r="I17" s="464">
        <f t="shared" si="7"/>
        <v>0</v>
      </c>
      <c r="J17" s="462">
        <f t="shared" si="7"/>
        <v>400206.33</v>
      </c>
      <c r="K17" s="463">
        <f t="shared" si="7"/>
        <v>398717.34</v>
      </c>
      <c r="L17" s="463">
        <f t="shared" si="7"/>
        <v>8890.31</v>
      </c>
      <c r="M17" s="463">
        <f t="shared" si="7"/>
        <v>4997.1899999999996</v>
      </c>
      <c r="N17" s="463">
        <f t="shared" si="7"/>
        <v>0</v>
      </c>
      <c r="O17" s="463">
        <f t="shared" si="7"/>
        <v>0</v>
      </c>
      <c r="P17" s="463">
        <f t="shared" si="7"/>
        <v>0</v>
      </c>
      <c r="Q17" s="463">
        <f t="shared" si="7"/>
        <v>349451.76</v>
      </c>
      <c r="R17" s="463">
        <f t="shared" si="7"/>
        <v>0</v>
      </c>
      <c r="S17" s="463">
        <f t="shared" si="7"/>
        <v>23202.080000000002</v>
      </c>
      <c r="T17" s="463">
        <f t="shared" si="7"/>
        <v>12176</v>
      </c>
      <c r="U17" s="463">
        <f t="shared" si="7"/>
        <v>1488.99</v>
      </c>
      <c r="V17" s="464">
        <f t="shared" si="7"/>
        <v>0</v>
      </c>
      <c r="W17" s="462">
        <f t="shared" si="7"/>
        <v>378600886.80000001</v>
      </c>
      <c r="X17" s="463">
        <f t="shared" si="7"/>
        <v>3172187.81</v>
      </c>
      <c r="Y17" s="463">
        <f t="shared" si="7"/>
        <v>23849355.039999999</v>
      </c>
      <c r="Z17" s="463">
        <f t="shared" si="7"/>
        <v>276101503.13999999</v>
      </c>
      <c r="AA17" s="464">
        <f t="shared" si="7"/>
        <v>75477840.810000002</v>
      </c>
      <c r="AB17" s="462">
        <f t="shared" si="7"/>
        <v>0</v>
      </c>
      <c r="AC17" s="463">
        <f t="shared" si="7"/>
        <v>0</v>
      </c>
      <c r="AD17" s="463">
        <f t="shared" si="7"/>
        <v>0</v>
      </c>
      <c r="AE17" s="464">
        <f t="shared" si="7"/>
        <v>0</v>
      </c>
      <c r="AF17" s="462">
        <f t="shared" si="7"/>
        <v>643254816.12</v>
      </c>
      <c r="AG17" s="464">
        <f t="shared" si="7"/>
        <v>567776975.30999994</v>
      </c>
      <c r="AH17" s="465"/>
    </row>
    <row r="18" spans="1:34" x14ac:dyDescent="0.3">
      <c r="A18" s="466" t="s">
        <v>365</v>
      </c>
      <c r="B18" s="467">
        <v>834107063</v>
      </c>
      <c r="C18" s="468">
        <v>37042106.990000002</v>
      </c>
      <c r="D18" s="467">
        <f>E18+F18+G18+H18+I18</f>
        <v>227211616</v>
      </c>
      <c r="E18" s="468">
        <v>14348732</v>
      </c>
      <c r="F18" s="483">
        <v>79656042</v>
      </c>
      <c r="G18" s="468">
        <v>26968445</v>
      </c>
      <c r="H18" s="468">
        <v>106238397</v>
      </c>
      <c r="I18" s="469">
        <v>0</v>
      </c>
      <c r="J18" s="484">
        <f>K18+U18+V18</f>
        <v>400206.33</v>
      </c>
      <c r="K18" s="468">
        <f>SUM(L18:T18)</f>
        <v>398717.34</v>
      </c>
      <c r="L18" s="468">
        <v>8890.31</v>
      </c>
      <c r="M18" s="468">
        <v>4997.1899999999996</v>
      </c>
      <c r="N18" s="468">
        <v>0</v>
      </c>
      <c r="O18" s="468">
        <v>0</v>
      </c>
      <c r="P18" s="468">
        <v>0</v>
      </c>
      <c r="Q18" s="468">
        <v>349451.76</v>
      </c>
      <c r="R18" s="468">
        <v>0</v>
      </c>
      <c r="S18" s="468">
        <v>23202.080000000002</v>
      </c>
      <c r="T18" s="468">
        <v>12176</v>
      </c>
      <c r="U18" s="468">
        <v>1488.99</v>
      </c>
      <c r="V18" s="470">
        <v>0</v>
      </c>
      <c r="W18" s="484">
        <f>SUM(X18:AA18)</f>
        <v>378600886.80000001</v>
      </c>
      <c r="X18" s="468">
        <v>3172187.81</v>
      </c>
      <c r="Y18" s="468">
        <v>23849355.039999999</v>
      </c>
      <c r="Z18" s="468">
        <v>276101503.13999999</v>
      </c>
      <c r="AA18" s="470">
        <v>75477840.810000002</v>
      </c>
      <c r="AB18" s="467">
        <f>SUM(AC18:AE18)</f>
        <v>0</v>
      </c>
      <c r="AC18" s="468"/>
      <c r="AD18" s="468">
        <v>0</v>
      </c>
      <c r="AE18" s="470"/>
      <c r="AF18" s="484">
        <f>AB18+W18+J18+C18+D18</f>
        <v>643254816.12</v>
      </c>
      <c r="AG18" s="485">
        <f>C18+D18+J18+X18+Y18+Z18+AD18+AE18</f>
        <v>567776975.30999994</v>
      </c>
      <c r="AH18" s="465"/>
    </row>
    <row r="19" spans="1:34" x14ac:dyDescent="0.3">
      <c r="A19" s="456" t="s">
        <v>366</v>
      </c>
      <c r="B19" s="457">
        <v>2733720635.9900002</v>
      </c>
      <c r="C19" s="457">
        <f t="shared" ref="C19:AF19" si="8">C20+C23+C26+C28+C31</f>
        <v>267373596.04999998</v>
      </c>
      <c r="D19" s="457">
        <f t="shared" si="8"/>
        <v>789555222</v>
      </c>
      <c r="E19" s="458">
        <f t="shared" si="8"/>
        <v>113979578</v>
      </c>
      <c r="F19" s="458">
        <f t="shared" si="8"/>
        <v>130480748</v>
      </c>
      <c r="G19" s="458">
        <f t="shared" si="8"/>
        <v>93009581</v>
      </c>
      <c r="H19" s="458">
        <f t="shared" si="8"/>
        <v>452085315</v>
      </c>
      <c r="I19" s="459">
        <f t="shared" si="8"/>
        <v>0</v>
      </c>
      <c r="J19" s="457">
        <f t="shared" si="8"/>
        <v>8826650.5399999991</v>
      </c>
      <c r="K19" s="458">
        <f t="shared" si="8"/>
        <v>6927205.379999999</v>
      </c>
      <c r="L19" s="458">
        <f t="shared" si="8"/>
        <v>439327.14</v>
      </c>
      <c r="M19" s="458">
        <f t="shared" si="8"/>
        <v>406851</v>
      </c>
      <c r="N19" s="458">
        <f t="shared" si="8"/>
        <v>82291.97</v>
      </c>
      <c r="O19" s="458">
        <f t="shared" si="8"/>
        <v>26495.919999999998</v>
      </c>
      <c r="P19" s="458">
        <f t="shared" si="8"/>
        <v>2122723.34</v>
      </c>
      <c r="Q19" s="458">
        <f t="shared" si="8"/>
        <v>1435480.2200000002</v>
      </c>
      <c r="R19" s="458">
        <f t="shared" si="8"/>
        <v>885454</v>
      </c>
      <c r="S19" s="458">
        <f t="shared" si="8"/>
        <v>989174.07000000007</v>
      </c>
      <c r="T19" s="458">
        <f t="shared" si="8"/>
        <v>539407.72</v>
      </c>
      <c r="U19" s="458">
        <f t="shared" si="8"/>
        <v>0</v>
      </c>
      <c r="V19" s="459">
        <f t="shared" si="8"/>
        <v>1899445.16</v>
      </c>
      <c r="W19" s="457">
        <f t="shared" si="8"/>
        <v>1524952943.46</v>
      </c>
      <c r="X19" s="458">
        <f t="shared" si="8"/>
        <v>70405389.419999987</v>
      </c>
      <c r="Y19" s="458">
        <f t="shared" si="8"/>
        <v>175161291.19</v>
      </c>
      <c r="Z19" s="458">
        <f t="shared" si="8"/>
        <v>719479972.41000009</v>
      </c>
      <c r="AA19" s="459">
        <f t="shared" si="8"/>
        <v>559906290.43999994</v>
      </c>
      <c r="AB19" s="457">
        <f t="shared" si="8"/>
        <v>376786817.38</v>
      </c>
      <c r="AC19" s="458">
        <f t="shared" si="8"/>
        <v>376403746.19</v>
      </c>
      <c r="AD19" s="458">
        <f t="shared" si="8"/>
        <v>383071.19</v>
      </c>
      <c r="AE19" s="459">
        <f t="shared" si="8"/>
        <v>0</v>
      </c>
      <c r="AF19" s="457">
        <f t="shared" si="8"/>
        <v>2967495229.4300003</v>
      </c>
      <c r="AG19" s="459">
        <f>AG20+AG23+AG26+AG28+AG31</f>
        <v>2031185192.8000002</v>
      </c>
      <c r="AH19" s="465"/>
    </row>
    <row r="20" spans="1:34" x14ac:dyDescent="0.3">
      <c r="A20" s="461" t="s">
        <v>367</v>
      </c>
      <c r="B20" s="462">
        <v>663183073.54999995</v>
      </c>
      <c r="C20" s="462">
        <f t="shared" ref="C20:AG20" si="9">C21+C22</f>
        <v>96623004.819999993</v>
      </c>
      <c r="D20" s="462">
        <f t="shared" si="9"/>
        <v>222553122</v>
      </c>
      <c r="E20" s="463">
        <f t="shared" si="9"/>
        <v>59683970</v>
      </c>
      <c r="F20" s="463">
        <f t="shared" si="9"/>
        <v>24781649</v>
      </c>
      <c r="G20" s="463">
        <f t="shared" si="9"/>
        <v>92091322</v>
      </c>
      <c r="H20" s="463">
        <f t="shared" si="9"/>
        <v>45996181</v>
      </c>
      <c r="I20" s="464">
        <f t="shared" si="9"/>
        <v>0</v>
      </c>
      <c r="J20" s="486">
        <f t="shared" si="9"/>
        <v>1860182.5799999998</v>
      </c>
      <c r="K20" s="487">
        <f t="shared" si="9"/>
        <v>1860182.5799999998</v>
      </c>
      <c r="L20" s="487">
        <f t="shared" si="9"/>
        <v>0</v>
      </c>
      <c r="M20" s="487">
        <f t="shared" si="9"/>
        <v>12853</v>
      </c>
      <c r="N20" s="487">
        <f t="shared" si="9"/>
        <v>57291.97</v>
      </c>
      <c r="O20" s="487">
        <f t="shared" si="9"/>
        <v>160.71</v>
      </c>
      <c r="P20" s="487">
        <f t="shared" si="9"/>
        <v>630257.28</v>
      </c>
      <c r="Q20" s="487">
        <f t="shared" si="9"/>
        <v>46769.09</v>
      </c>
      <c r="R20" s="487">
        <f t="shared" si="9"/>
        <v>710198.69000000006</v>
      </c>
      <c r="S20" s="487">
        <f t="shared" si="9"/>
        <v>323314.12</v>
      </c>
      <c r="T20" s="487">
        <f t="shared" si="9"/>
        <v>79337.72</v>
      </c>
      <c r="U20" s="487">
        <f t="shared" si="9"/>
        <v>0</v>
      </c>
      <c r="V20" s="488">
        <f t="shared" si="9"/>
        <v>0</v>
      </c>
      <c r="W20" s="462">
        <f t="shared" si="9"/>
        <v>577425976.10000002</v>
      </c>
      <c r="X20" s="463">
        <f t="shared" si="9"/>
        <v>21460778.009999998</v>
      </c>
      <c r="Y20" s="463">
        <f t="shared" si="9"/>
        <v>171194295.06</v>
      </c>
      <c r="Z20" s="463">
        <f t="shared" si="9"/>
        <v>224524247.25</v>
      </c>
      <c r="AA20" s="464">
        <f t="shared" si="9"/>
        <v>160246655.78</v>
      </c>
      <c r="AB20" s="462">
        <f t="shared" si="9"/>
        <v>38408127.049999997</v>
      </c>
      <c r="AC20" s="463">
        <f t="shared" si="9"/>
        <v>38025055.859999999</v>
      </c>
      <c r="AD20" s="463">
        <f t="shared" si="9"/>
        <v>383071.19</v>
      </c>
      <c r="AE20" s="464">
        <f t="shared" si="9"/>
        <v>0</v>
      </c>
      <c r="AF20" s="462">
        <f t="shared" si="9"/>
        <v>936870412.54999995</v>
      </c>
      <c r="AG20" s="464">
        <f t="shared" si="9"/>
        <v>738598700.90999997</v>
      </c>
      <c r="AH20" s="465"/>
    </row>
    <row r="21" spans="1:34" x14ac:dyDescent="0.3">
      <c r="A21" s="471" t="s">
        <v>368</v>
      </c>
      <c r="B21" s="472">
        <v>663183073.54999995</v>
      </c>
      <c r="C21" s="473">
        <v>90916578</v>
      </c>
      <c r="D21" s="472">
        <f>E21+F21+G21+H21+I21</f>
        <v>218725420</v>
      </c>
      <c r="E21" s="473">
        <v>57789964</v>
      </c>
      <c r="F21" s="473">
        <v>24781649</v>
      </c>
      <c r="G21" s="473">
        <v>90379275</v>
      </c>
      <c r="H21" s="473">
        <v>45774532</v>
      </c>
      <c r="I21" s="474"/>
      <c r="J21" s="478">
        <f>K21+U21+V21</f>
        <v>1596831.8599999999</v>
      </c>
      <c r="K21" s="473">
        <f>SUM(L21:T21)</f>
        <v>1596831.8599999999</v>
      </c>
      <c r="L21" s="473">
        <v>0</v>
      </c>
      <c r="M21" s="473">
        <v>12853</v>
      </c>
      <c r="N21" s="473">
        <v>53404</v>
      </c>
      <c r="O21" s="473">
        <v>160.71</v>
      </c>
      <c r="P21" s="473">
        <v>541998.5</v>
      </c>
      <c r="Q21" s="473">
        <v>46769.09</v>
      </c>
      <c r="R21" s="473">
        <v>610939.15</v>
      </c>
      <c r="S21" s="473">
        <v>251369.69</v>
      </c>
      <c r="T21" s="473">
        <v>79337.72</v>
      </c>
      <c r="U21" s="489">
        <v>0</v>
      </c>
      <c r="V21" s="465">
        <v>0</v>
      </c>
      <c r="W21" s="478">
        <f>SUM(X21:AA21)</f>
        <v>557556532.64999998</v>
      </c>
      <c r="X21" s="473">
        <v>20912145.559999999</v>
      </c>
      <c r="Y21" s="473">
        <v>159147029.22999999</v>
      </c>
      <c r="Z21" s="473">
        <v>217316072.75999999</v>
      </c>
      <c r="AA21" s="460">
        <v>160181285.09999999</v>
      </c>
      <c r="AB21" s="472">
        <f>SUM(AC21:AE21)</f>
        <v>38025055.859999999</v>
      </c>
      <c r="AC21" s="473">
        <v>38025055.859999999</v>
      </c>
      <c r="AD21" s="473">
        <v>0</v>
      </c>
      <c r="AE21" s="460">
        <v>0</v>
      </c>
      <c r="AF21" s="472">
        <f>AB21+W21+J21+C21+D21</f>
        <v>906820418.37</v>
      </c>
      <c r="AG21" s="460">
        <f>C21+D21+J21+X21+Y21+Z21+AD21+AE21</f>
        <v>708614077.40999997</v>
      </c>
      <c r="AH21" s="465"/>
    </row>
    <row r="22" spans="1:34" x14ac:dyDescent="0.3">
      <c r="A22" s="471" t="s">
        <v>369</v>
      </c>
      <c r="B22" s="472">
        <v>0</v>
      </c>
      <c r="C22" s="473">
        <v>5706426.8200000003</v>
      </c>
      <c r="D22" s="472">
        <f>E22+F22+G22+H22+I22</f>
        <v>3827702</v>
      </c>
      <c r="E22" s="473">
        <v>1894006</v>
      </c>
      <c r="F22" s="473">
        <v>0</v>
      </c>
      <c r="G22" s="473">
        <v>1712047</v>
      </c>
      <c r="H22" s="473">
        <v>221649</v>
      </c>
      <c r="I22" s="474"/>
      <c r="J22" s="478">
        <f>K22+U22+V22</f>
        <v>263350.71999999997</v>
      </c>
      <c r="K22" s="473">
        <f>SUM(L22:T22)</f>
        <v>263350.71999999997</v>
      </c>
      <c r="L22" s="473">
        <v>0</v>
      </c>
      <c r="M22" s="473">
        <v>0</v>
      </c>
      <c r="N22" s="473">
        <v>3887.97</v>
      </c>
      <c r="O22" s="473">
        <v>0</v>
      </c>
      <c r="P22" s="473">
        <v>88258.78</v>
      </c>
      <c r="Q22" s="473">
        <v>0</v>
      </c>
      <c r="R22" s="473">
        <v>99259.54</v>
      </c>
      <c r="S22" s="473">
        <v>71944.429999999993</v>
      </c>
      <c r="T22" s="473">
        <v>0</v>
      </c>
      <c r="U22" s="489"/>
      <c r="V22" s="465"/>
      <c r="W22" s="478">
        <f>SUM(X22:AA22)</f>
        <v>19869443.449999999</v>
      </c>
      <c r="X22" s="473">
        <v>548632.44999999995</v>
      </c>
      <c r="Y22" s="473">
        <v>12047265.83</v>
      </c>
      <c r="Z22" s="473">
        <v>7208174.4900000002</v>
      </c>
      <c r="AA22" s="460">
        <v>65370.68</v>
      </c>
      <c r="AB22" s="472">
        <f>SUM(AC22:AE22)</f>
        <v>383071.19</v>
      </c>
      <c r="AC22" s="473"/>
      <c r="AD22" s="473">
        <v>383071.19</v>
      </c>
      <c r="AE22" s="460">
        <v>0</v>
      </c>
      <c r="AF22" s="472">
        <f>AB22+W22+J22+C22+D22</f>
        <v>30049994.18</v>
      </c>
      <c r="AG22" s="460">
        <f>C22+D22+J22+X22+Y22+Z22+AD22+AE22</f>
        <v>29984623.500000004</v>
      </c>
      <c r="AH22" s="465"/>
    </row>
    <row r="23" spans="1:34" x14ac:dyDescent="0.3">
      <c r="A23" s="461" t="s">
        <v>371</v>
      </c>
      <c r="B23" s="462">
        <v>0</v>
      </c>
      <c r="C23" s="462">
        <f t="shared" ref="C23:I23" si="10">C24+C25</f>
        <v>4856612.38</v>
      </c>
      <c r="D23" s="462">
        <f t="shared" si="10"/>
        <v>5876911</v>
      </c>
      <c r="E23" s="463">
        <f t="shared" si="10"/>
        <v>5876911</v>
      </c>
      <c r="F23" s="463">
        <f t="shared" si="10"/>
        <v>0</v>
      </c>
      <c r="G23" s="463">
        <f t="shared" si="10"/>
        <v>0</v>
      </c>
      <c r="H23" s="463">
        <f t="shared" si="10"/>
        <v>0</v>
      </c>
      <c r="I23" s="464">
        <f t="shared" si="10"/>
        <v>0</v>
      </c>
      <c r="J23" s="486">
        <f t="shared" ref="J23:AG23" si="11">J24</f>
        <v>2145300</v>
      </c>
      <c r="K23" s="487">
        <f t="shared" si="11"/>
        <v>570300</v>
      </c>
      <c r="L23" s="487">
        <f t="shared" si="11"/>
        <v>0</v>
      </c>
      <c r="M23" s="487">
        <f t="shared" si="11"/>
        <v>0</v>
      </c>
      <c r="N23" s="487">
        <f t="shared" si="11"/>
        <v>0</v>
      </c>
      <c r="O23" s="487">
        <f t="shared" si="11"/>
        <v>0</v>
      </c>
      <c r="P23" s="487">
        <f t="shared" si="11"/>
        <v>570300</v>
      </c>
      <c r="Q23" s="487">
        <f t="shared" si="11"/>
        <v>0</v>
      </c>
      <c r="R23" s="487">
        <f t="shared" si="11"/>
        <v>0</v>
      </c>
      <c r="S23" s="487">
        <f t="shared" si="11"/>
        <v>0</v>
      </c>
      <c r="T23" s="487">
        <f t="shared" si="11"/>
        <v>0</v>
      </c>
      <c r="U23" s="487">
        <f t="shared" si="11"/>
        <v>0</v>
      </c>
      <c r="V23" s="488">
        <f t="shared" si="11"/>
        <v>1575000</v>
      </c>
      <c r="W23" s="462">
        <f t="shared" si="11"/>
        <v>29588822.66</v>
      </c>
      <c r="X23" s="463">
        <f t="shared" si="11"/>
        <v>9785358.4800000004</v>
      </c>
      <c r="Y23" s="463">
        <f t="shared" si="11"/>
        <v>123500.33</v>
      </c>
      <c r="Z23" s="463">
        <f t="shared" si="11"/>
        <v>19113785.620000001</v>
      </c>
      <c r="AA23" s="464">
        <f t="shared" si="11"/>
        <v>566178.23</v>
      </c>
      <c r="AB23" s="462">
        <f t="shared" si="11"/>
        <v>0</v>
      </c>
      <c r="AC23" s="463">
        <f t="shared" si="11"/>
        <v>0</v>
      </c>
      <c r="AD23" s="463">
        <f t="shared" si="11"/>
        <v>0</v>
      </c>
      <c r="AE23" s="464">
        <f t="shared" si="11"/>
        <v>0</v>
      </c>
      <c r="AF23" s="462">
        <f t="shared" si="11"/>
        <v>42467646.039999999</v>
      </c>
      <c r="AG23" s="464">
        <f t="shared" si="11"/>
        <v>41901467.810000002</v>
      </c>
      <c r="AH23" s="465"/>
    </row>
    <row r="24" spans="1:34" x14ac:dyDescent="0.3">
      <c r="A24" s="471" t="s">
        <v>372</v>
      </c>
      <c r="B24" s="472">
        <v>0</v>
      </c>
      <c r="C24" s="473">
        <v>4856612.38</v>
      </c>
      <c r="D24" s="472">
        <f>E24+F24+G24+H24+I24</f>
        <v>5876911</v>
      </c>
      <c r="E24" s="473">
        <v>5876911</v>
      </c>
      <c r="F24" s="473">
        <v>0</v>
      </c>
      <c r="G24" s="473">
        <v>0</v>
      </c>
      <c r="H24" s="473">
        <v>0</v>
      </c>
      <c r="I24" s="474"/>
      <c r="J24" s="478">
        <f>K24+U24+V24</f>
        <v>2145300</v>
      </c>
      <c r="K24" s="473">
        <f>SUM(L24:T24)</f>
        <v>570300</v>
      </c>
      <c r="L24" s="473">
        <v>0</v>
      </c>
      <c r="M24" s="473">
        <v>0</v>
      </c>
      <c r="N24" s="473">
        <v>0</v>
      </c>
      <c r="O24" s="473">
        <v>0</v>
      </c>
      <c r="P24" s="473">
        <v>570300</v>
      </c>
      <c r="Q24" s="473">
        <v>0</v>
      </c>
      <c r="R24" s="473">
        <v>0</v>
      </c>
      <c r="S24" s="473">
        <v>0</v>
      </c>
      <c r="T24" s="473">
        <v>0</v>
      </c>
      <c r="U24" s="489">
        <v>0</v>
      </c>
      <c r="V24" s="465">
        <v>1575000</v>
      </c>
      <c r="W24" s="472">
        <f>SUM(X24:AA24)</f>
        <v>29588822.66</v>
      </c>
      <c r="X24" s="473">
        <v>9785358.4800000004</v>
      </c>
      <c r="Y24" s="473">
        <v>123500.33</v>
      </c>
      <c r="Z24" s="473">
        <v>19113785.620000001</v>
      </c>
      <c r="AA24" s="460">
        <v>566178.23</v>
      </c>
      <c r="AB24" s="472">
        <f>SUM(AC24:AE24)</f>
        <v>0</v>
      </c>
      <c r="AC24" s="473">
        <v>0</v>
      </c>
      <c r="AD24" s="473">
        <v>0</v>
      </c>
      <c r="AE24" s="460">
        <v>0</v>
      </c>
      <c r="AF24" s="472">
        <f>AB24+W24+J24+C24+D24</f>
        <v>42467646.039999999</v>
      </c>
      <c r="AG24" s="460">
        <f>C24+D24+J24+X24+Y24+Z24+AD24+AE24</f>
        <v>41901467.810000002</v>
      </c>
      <c r="AH24" s="465"/>
    </row>
    <row r="25" spans="1:34" hidden="1" x14ac:dyDescent="0.3">
      <c r="A25" s="471" t="s">
        <v>373</v>
      </c>
      <c r="B25" s="472">
        <v>0</v>
      </c>
      <c r="C25" s="473">
        <v>0</v>
      </c>
      <c r="D25" s="472">
        <f>E25+F25+G25+H25+I25</f>
        <v>0</v>
      </c>
      <c r="E25" s="473">
        <v>0</v>
      </c>
      <c r="F25" s="473">
        <v>0</v>
      </c>
      <c r="G25" s="473"/>
      <c r="H25" s="473"/>
      <c r="I25" s="474"/>
      <c r="J25" s="478">
        <f>SUM(K25:V25)</f>
        <v>0</v>
      </c>
      <c r="K25" s="473">
        <v>0</v>
      </c>
      <c r="L25" s="473">
        <v>0</v>
      </c>
      <c r="M25" s="473">
        <v>0</v>
      </c>
      <c r="N25" s="473">
        <v>0</v>
      </c>
      <c r="O25" s="473">
        <v>0</v>
      </c>
      <c r="P25" s="473">
        <v>0</v>
      </c>
      <c r="Q25" s="473">
        <v>0</v>
      </c>
      <c r="R25" s="473">
        <v>0</v>
      </c>
      <c r="S25" s="473">
        <v>0</v>
      </c>
      <c r="T25" s="473">
        <v>0</v>
      </c>
      <c r="U25" s="489">
        <v>0</v>
      </c>
      <c r="V25" s="465">
        <v>0</v>
      </c>
      <c r="W25" s="478">
        <f>SUM(X25:AA25)</f>
        <v>0</v>
      </c>
      <c r="X25" s="473">
        <v>0</v>
      </c>
      <c r="Y25" s="473">
        <v>0</v>
      </c>
      <c r="Z25" s="473">
        <v>0</v>
      </c>
      <c r="AA25" s="460">
        <v>0</v>
      </c>
      <c r="AB25" s="472">
        <f>SUM(AC25:AE25)</f>
        <v>0</v>
      </c>
      <c r="AC25" s="473"/>
      <c r="AD25" s="473"/>
      <c r="AE25" s="460"/>
      <c r="AF25" s="472">
        <f>AB25+W25+J25+C25+D25</f>
        <v>0</v>
      </c>
      <c r="AG25" s="460">
        <f>C25+D25+J25+X25+Y25+Z25+AD25+AE25</f>
        <v>0</v>
      </c>
      <c r="AH25" s="465"/>
    </row>
    <row r="26" spans="1:34" x14ac:dyDescent="0.3">
      <c r="A26" s="461" t="s">
        <v>374</v>
      </c>
      <c r="B26" s="462">
        <v>1613457122.46</v>
      </c>
      <c r="C26" s="462">
        <f t="shared" ref="C26:AG26" si="12">C27</f>
        <v>110588557.44</v>
      </c>
      <c r="D26" s="462">
        <f t="shared" si="12"/>
        <v>536252889</v>
      </c>
      <c r="E26" s="463">
        <f t="shared" si="12"/>
        <v>32972032</v>
      </c>
      <c r="F26" s="463">
        <f t="shared" si="12"/>
        <v>100787333</v>
      </c>
      <c r="G26" s="463">
        <f t="shared" si="12"/>
        <v>0</v>
      </c>
      <c r="H26" s="463">
        <f t="shared" si="12"/>
        <v>402493524</v>
      </c>
      <c r="I26" s="464">
        <f t="shared" si="12"/>
        <v>0</v>
      </c>
      <c r="J26" s="486">
        <f t="shared" si="12"/>
        <v>3608535.4499999997</v>
      </c>
      <c r="K26" s="487">
        <f t="shared" si="12"/>
        <v>3608535.4499999997</v>
      </c>
      <c r="L26" s="487">
        <f t="shared" si="12"/>
        <v>12906</v>
      </c>
      <c r="M26" s="487">
        <f t="shared" si="12"/>
        <v>393998</v>
      </c>
      <c r="N26" s="487">
        <f t="shared" si="12"/>
        <v>25000</v>
      </c>
      <c r="O26" s="487">
        <f t="shared" si="12"/>
        <v>19174</v>
      </c>
      <c r="P26" s="487">
        <f t="shared" si="12"/>
        <v>846516.75</v>
      </c>
      <c r="Q26" s="487">
        <f t="shared" si="12"/>
        <v>1197095.26</v>
      </c>
      <c r="R26" s="487">
        <f t="shared" si="12"/>
        <v>166587.46</v>
      </c>
      <c r="S26" s="487">
        <f t="shared" si="12"/>
        <v>565625.16</v>
      </c>
      <c r="T26" s="487">
        <f t="shared" si="12"/>
        <v>381632.82</v>
      </c>
      <c r="U26" s="487">
        <f t="shared" si="12"/>
        <v>0</v>
      </c>
      <c r="V26" s="488">
        <f t="shared" si="12"/>
        <v>0</v>
      </c>
      <c r="W26" s="462">
        <f t="shared" si="12"/>
        <v>771593127.37</v>
      </c>
      <c r="X26" s="463">
        <f t="shared" si="12"/>
        <v>26384250.640000001</v>
      </c>
      <c r="Y26" s="463">
        <f t="shared" si="12"/>
        <v>0</v>
      </c>
      <c r="Z26" s="463">
        <f t="shared" si="12"/>
        <v>396334128.29000002</v>
      </c>
      <c r="AA26" s="464">
        <f t="shared" si="12"/>
        <v>348874748.44</v>
      </c>
      <c r="AB26" s="462">
        <f t="shared" si="12"/>
        <v>338168075.83999997</v>
      </c>
      <c r="AC26" s="463">
        <f t="shared" si="12"/>
        <v>338168075.83999997</v>
      </c>
      <c r="AD26" s="463">
        <f t="shared" si="12"/>
        <v>0</v>
      </c>
      <c r="AE26" s="464">
        <f t="shared" si="12"/>
        <v>0</v>
      </c>
      <c r="AF26" s="462">
        <f t="shared" si="12"/>
        <v>1760211185.1000001</v>
      </c>
      <c r="AG26" s="464">
        <f t="shared" si="12"/>
        <v>1073168360.8200002</v>
      </c>
      <c r="AH26" s="465"/>
    </row>
    <row r="27" spans="1:34" x14ac:dyDescent="0.3">
      <c r="A27" s="466" t="s">
        <v>375</v>
      </c>
      <c r="B27" s="484">
        <v>1613457122.46</v>
      </c>
      <c r="C27" s="483">
        <v>110588557.44</v>
      </c>
      <c r="D27" s="467">
        <f>E27+F27+G27+H27+I27</f>
        <v>536252889</v>
      </c>
      <c r="E27" s="483">
        <v>32972032</v>
      </c>
      <c r="F27" s="483">
        <v>100787333</v>
      </c>
      <c r="G27" s="483">
        <v>0</v>
      </c>
      <c r="H27" s="483">
        <v>402493524</v>
      </c>
      <c r="I27" s="474"/>
      <c r="J27" s="478">
        <f>K27+U27+V27</f>
        <v>3608535.4499999997</v>
      </c>
      <c r="K27" s="468">
        <f>SUM(L27:T27)</f>
        <v>3608535.4499999997</v>
      </c>
      <c r="L27" s="468">
        <v>12906</v>
      </c>
      <c r="M27" s="468">
        <v>393998</v>
      </c>
      <c r="N27" s="468">
        <v>25000</v>
      </c>
      <c r="O27" s="468">
        <v>19174</v>
      </c>
      <c r="P27" s="468">
        <v>846516.75</v>
      </c>
      <c r="Q27" s="468">
        <v>1197095.26</v>
      </c>
      <c r="R27" s="468">
        <v>166587.46</v>
      </c>
      <c r="S27" s="468">
        <v>565625.16</v>
      </c>
      <c r="T27" s="468">
        <v>381632.82</v>
      </c>
      <c r="U27" s="490">
        <v>0</v>
      </c>
      <c r="V27" s="481">
        <v>0</v>
      </c>
      <c r="W27" s="484">
        <f>SUM(X27:AA27)</f>
        <v>771593127.37</v>
      </c>
      <c r="X27" s="483">
        <v>26384250.640000001</v>
      </c>
      <c r="Y27" s="483">
        <v>0</v>
      </c>
      <c r="Z27" s="483">
        <v>396334128.29000002</v>
      </c>
      <c r="AA27" s="485">
        <v>348874748.44</v>
      </c>
      <c r="AB27" s="484">
        <f>SUM(AC27:AE27)</f>
        <v>338168075.83999997</v>
      </c>
      <c r="AC27" s="483">
        <v>338168075.83999997</v>
      </c>
      <c r="AD27" s="483">
        <v>0</v>
      </c>
      <c r="AE27" s="485"/>
      <c r="AF27" s="484">
        <f>AB27+W27+J27+C27+D27</f>
        <v>1760211185.1000001</v>
      </c>
      <c r="AG27" s="485">
        <f>C27+D27+J27+X27+Y27+Z27+AD27+AE27</f>
        <v>1073168360.8200002</v>
      </c>
      <c r="AH27" s="465"/>
    </row>
    <row r="28" spans="1:34" x14ac:dyDescent="0.3">
      <c r="A28" s="461" t="s">
        <v>376</v>
      </c>
      <c r="B28" s="462">
        <v>176830162.5</v>
      </c>
      <c r="C28" s="462">
        <f t="shared" ref="C28:AG28" si="13">C29+C30</f>
        <v>21311219.009999998</v>
      </c>
      <c r="D28" s="462">
        <f t="shared" si="13"/>
        <v>12811314</v>
      </c>
      <c r="E28" s="463">
        <f t="shared" si="13"/>
        <v>3385679</v>
      </c>
      <c r="F28" s="463">
        <f t="shared" si="13"/>
        <v>4911766</v>
      </c>
      <c r="G28" s="463">
        <f t="shared" si="13"/>
        <v>918259</v>
      </c>
      <c r="H28" s="463">
        <f t="shared" si="13"/>
        <v>3595610</v>
      </c>
      <c r="I28" s="464">
        <f t="shared" si="13"/>
        <v>0</v>
      </c>
      <c r="J28" s="486">
        <f t="shared" si="13"/>
        <v>840575.09000000008</v>
      </c>
      <c r="K28" s="487">
        <f t="shared" si="13"/>
        <v>840575.09000000008</v>
      </c>
      <c r="L28" s="487">
        <f t="shared" si="13"/>
        <v>385168.63</v>
      </c>
      <c r="M28" s="487">
        <f t="shared" si="13"/>
        <v>0</v>
      </c>
      <c r="N28" s="487">
        <f t="shared" si="13"/>
        <v>0</v>
      </c>
      <c r="O28" s="487">
        <f t="shared" si="13"/>
        <v>7161.21</v>
      </c>
      <c r="P28" s="487">
        <f t="shared" si="13"/>
        <v>75649.31</v>
      </c>
      <c r="Q28" s="487">
        <f t="shared" si="13"/>
        <v>191615.87</v>
      </c>
      <c r="R28" s="487">
        <f t="shared" si="13"/>
        <v>8667.85</v>
      </c>
      <c r="S28" s="487">
        <f t="shared" si="13"/>
        <v>100234.79</v>
      </c>
      <c r="T28" s="487">
        <f t="shared" si="13"/>
        <v>72077.429999999993</v>
      </c>
      <c r="U28" s="487">
        <f t="shared" si="13"/>
        <v>0</v>
      </c>
      <c r="V28" s="488">
        <f t="shared" si="13"/>
        <v>0</v>
      </c>
      <c r="W28" s="462">
        <f t="shared" si="13"/>
        <v>55587292.610000007</v>
      </c>
      <c r="X28" s="463">
        <f t="shared" si="13"/>
        <v>9630981.5700000003</v>
      </c>
      <c r="Y28" s="463">
        <f t="shared" si="13"/>
        <v>3637262.1</v>
      </c>
      <c r="Z28" s="463">
        <f t="shared" si="13"/>
        <v>40237700.75</v>
      </c>
      <c r="AA28" s="464">
        <f t="shared" si="13"/>
        <v>2081348.19</v>
      </c>
      <c r="AB28" s="462">
        <f t="shared" si="13"/>
        <v>0</v>
      </c>
      <c r="AC28" s="463">
        <f t="shared" si="13"/>
        <v>0</v>
      </c>
      <c r="AD28" s="463">
        <f t="shared" si="13"/>
        <v>0</v>
      </c>
      <c r="AE28" s="464">
        <f t="shared" si="13"/>
        <v>0</v>
      </c>
      <c r="AF28" s="462">
        <f t="shared" si="13"/>
        <v>90550400.710000008</v>
      </c>
      <c r="AG28" s="464">
        <f t="shared" si="13"/>
        <v>88469052.519999996</v>
      </c>
      <c r="AH28" s="465"/>
    </row>
    <row r="29" spans="1:34" x14ac:dyDescent="0.3">
      <c r="A29" s="471" t="s">
        <v>377</v>
      </c>
      <c r="B29" s="472">
        <v>124698874.03</v>
      </c>
      <c r="C29" s="473">
        <v>5206712.0599999996</v>
      </c>
      <c r="D29" s="472">
        <f>E29+F29+G29+H29+I29</f>
        <v>7148753</v>
      </c>
      <c r="E29" s="473">
        <v>1019482</v>
      </c>
      <c r="F29" s="473">
        <v>2760615</v>
      </c>
      <c r="G29" s="473">
        <v>229063</v>
      </c>
      <c r="H29" s="473">
        <v>3139593</v>
      </c>
      <c r="I29" s="474"/>
      <c r="J29" s="478">
        <f>K29+U29+V29</f>
        <v>104718</v>
      </c>
      <c r="K29" s="473">
        <f>SUM(L29:T29)</f>
        <v>104718</v>
      </c>
      <c r="L29" s="473">
        <v>0</v>
      </c>
      <c r="M29" s="473">
        <v>0</v>
      </c>
      <c r="N29" s="473">
        <v>0</v>
      </c>
      <c r="O29" s="473">
        <v>0</v>
      </c>
      <c r="P29" s="473">
        <v>35957</v>
      </c>
      <c r="Q29" s="473">
        <v>0</v>
      </c>
      <c r="R29" s="473">
        <v>7919</v>
      </c>
      <c r="S29" s="473">
        <v>0</v>
      </c>
      <c r="T29" s="473">
        <v>60842</v>
      </c>
      <c r="U29" s="489">
        <v>0</v>
      </c>
      <c r="V29" s="465">
        <v>0</v>
      </c>
      <c r="W29" s="472">
        <f>SUM(X29:AA29)</f>
        <v>13068633.450000001</v>
      </c>
      <c r="X29" s="473">
        <v>2836489.2</v>
      </c>
      <c r="Y29" s="473">
        <v>592199.77</v>
      </c>
      <c r="Z29" s="473">
        <v>9463450.75</v>
      </c>
      <c r="AA29" s="460">
        <v>176493.73</v>
      </c>
      <c r="AB29" s="472">
        <f>SUM(AC29:AE29)</f>
        <v>0</v>
      </c>
      <c r="AC29" s="473">
        <v>0</v>
      </c>
      <c r="AD29" s="473">
        <v>0</v>
      </c>
      <c r="AE29" s="460">
        <v>0</v>
      </c>
      <c r="AF29" s="472">
        <f>AB29+W29+J29+C29+D29</f>
        <v>25528816.510000002</v>
      </c>
      <c r="AG29" s="460">
        <f>C29+D29+J29+X29+Y29+Z29+AD29+AE29</f>
        <v>25352322.779999997</v>
      </c>
      <c r="AH29" s="465"/>
    </row>
    <row r="30" spans="1:34" x14ac:dyDescent="0.3">
      <c r="A30" s="471" t="s">
        <v>378</v>
      </c>
      <c r="B30" s="472">
        <v>52131288.469999999</v>
      </c>
      <c r="C30" s="473">
        <v>16104506.949999999</v>
      </c>
      <c r="D30" s="472">
        <f>E30+F30+G30+H30+I30</f>
        <v>5662561</v>
      </c>
      <c r="E30" s="473">
        <v>2366197</v>
      </c>
      <c r="F30" s="473">
        <v>2151151</v>
      </c>
      <c r="G30" s="473">
        <v>689196</v>
      </c>
      <c r="H30" s="473">
        <v>456017</v>
      </c>
      <c r="I30" s="474"/>
      <c r="J30" s="478">
        <f>K30+U30+V30</f>
        <v>735857.09000000008</v>
      </c>
      <c r="K30" s="473">
        <f>SUM(L30:T30)</f>
        <v>735857.09000000008</v>
      </c>
      <c r="L30" s="473">
        <v>385168.63</v>
      </c>
      <c r="M30" s="473">
        <v>0</v>
      </c>
      <c r="N30" s="473">
        <v>0</v>
      </c>
      <c r="O30" s="473">
        <v>7161.21</v>
      </c>
      <c r="P30" s="473">
        <v>39692.31</v>
      </c>
      <c r="Q30" s="473">
        <v>191615.87</v>
      </c>
      <c r="R30" s="473">
        <v>748.85</v>
      </c>
      <c r="S30" s="473">
        <v>100234.79</v>
      </c>
      <c r="T30" s="473">
        <v>11235.43</v>
      </c>
      <c r="U30" s="489">
        <v>0</v>
      </c>
      <c r="V30" s="465">
        <v>0</v>
      </c>
      <c r="W30" s="472">
        <f>SUM(X30:AA30)</f>
        <v>42518659.160000004</v>
      </c>
      <c r="X30" s="473">
        <v>6794492.3700000001</v>
      </c>
      <c r="Y30" s="473">
        <v>3045062.33</v>
      </c>
      <c r="Z30" s="473">
        <v>30774250</v>
      </c>
      <c r="AA30" s="460">
        <v>1904854.46</v>
      </c>
      <c r="AB30" s="472">
        <f>SUM(AC30:AE30)</f>
        <v>0</v>
      </c>
      <c r="AC30" s="473">
        <v>0</v>
      </c>
      <c r="AD30" s="473">
        <v>0</v>
      </c>
      <c r="AE30" s="460">
        <v>0</v>
      </c>
      <c r="AF30" s="472">
        <f>AB30+W30+J30+C30+D30</f>
        <v>65021584.200000003</v>
      </c>
      <c r="AG30" s="460">
        <f>C30+D30+J30+X30+Y30+Z30+AD30+AE30</f>
        <v>63116729.740000002</v>
      </c>
      <c r="AH30" s="465"/>
    </row>
    <row r="31" spans="1:34" x14ac:dyDescent="0.3">
      <c r="A31" s="461" t="s">
        <v>379</v>
      </c>
      <c r="B31" s="462">
        <v>280250277.48000002</v>
      </c>
      <c r="C31" s="462">
        <f t="shared" ref="C31:AG31" si="14">C32</f>
        <v>33994202.399999999</v>
      </c>
      <c r="D31" s="462">
        <f t="shared" si="14"/>
        <v>12060986</v>
      </c>
      <c r="E31" s="463">
        <f t="shared" si="14"/>
        <v>12060986</v>
      </c>
      <c r="F31" s="463">
        <f t="shared" si="14"/>
        <v>0</v>
      </c>
      <c r="G31" s="463">
        <f t="shared" si="14"/>
        <v>0</v>
      </c>
      <c r="H31" s="463">
        <f t="shared" si="14"/>
        <v>0</v>
      </c>
      <c r="I31" s="464">
        <f t="shared" si="14"/>
        <v>0</v>
      </c>
      <c r="J31" s="486">
        <f t="shared" si="14"/>
        <v>372057.42</v>
      </c>
      <c r="K31" s="487">
        <f t="shared" si="14"/>
        <v>47612.26</v>
      </c>
      <c r="L31" s="487">
        <f t="shared" si="14"/>
        <v>41252.51</v>
      </c>
      <c r="M31" s="487">
        <f t="shared" si="14"/>
        <v>0</v>
      </c>
      <c r="N31" s="487">
        <f t="shared" si="14"/>
        <v>0</v>
      </c>
      <c r="O31" s="487">
        <f t="shared" si="14"/>
        <v>0</v>
      </c>
      <c r="P31" s="487">
        <f t="shared" si="14"/>
        <v>0</v>
      </c>
      <c r="Q31" s="487">
        <f t="shared" si="14"/>
        <v>0</v>
      </c>
      <c r="R31" s="487">
        <f t="shared" si="14"/>
        <v>0</v>
      </c>
      <c r="S31" s="487">
        <f t="shared" si="14"/>
        <v>0</v>
      </c>
      <c r="T31" s="487">
        <f t="shared" si="14"/>
        <v>6359.75</v>
      </c>
      <c r="U31" s="487">
        <f t="shared" si="14"/>
        <v>0</v>
      </c>
      <c r="V31" s="488">
        <f t="shared" si="14"/>
        <v>324445.15999999997</v>
      </c>
      <c r="W31" s="462">
        <f t="shared" si="14"/>
        <v>90757724.719999999</v>
      </c>
      <c r="X31" s="463">
        <f t="shared" si="14"/>
        <v>3144020.72</v>
      </c>
      <c r="Y31" s="463">
        <f t="shared" si="14"/>
        <v>206233.7</v>
      </c>
      <c r="Z31" s="463">
        <f t="shared" si="14"/>
        <v>39270110.5</v>
      </c>
      <c r="AA31" s="464">
        <f t="shared" si="14"/>
        <v>48137359.799999997</v>
      </c>
      <c r="AB31" s="462">
        <f t="shared" si="14"/>
        <v>210614.49</v>
      </c>
      <c r="AC31" s="463">
        <f t="shared" si="14"/>
        <v>210614.49</v>
      </c>
      <c r="AD31" s="463">
        <f t="shared" si="14"/>
        <v>0</v>
      </c>
      <c r="AE31" s="464">
        <f t="shared" si="14"/>
        <v>0</v>
      </c>
      <c r="AF31" s="462">
        <f t="shared" si="14"/>
        <v>137395585.03</v>
      </c>
      <c r="AG31" s="464">
        <f t="shared" si="14"/>
        <v>89047610.74000001</v>
      </c>
      <c r="AH31" s="465"/>
    </row>
    <row r="32" spans="1:34" x14ac:dyDescent="0.3">
      <c r="A32" s="471" t="s">
        <v>380</v>
      </c>
      <c r="B32" s="472">
        <v>280250277.48000002</v>
      </c>
      <c r="C32" s="473">
        <v>33994202.399999999</v>
      </c>
      <c r="D32" s="472">
        <f>E32+F32+G32+H32+I32</f>
        <v>12060986</v>
      </c>
      <c r="E32" s="473">
        <v>12060986</v>
      </c>
      <c r="F32" s="473">
        <v>0</v>
      </c>
      <c r="G32" s="473"/>
      <c r="H32" s="473">
        <v>0</v>
      </c>
      <c r="I32" s="474">
        <v>0</v>
      </c>
      <c r="J32" s="478">
        <f>K32+U32+V32</f>
        <v>372057.42</v>
      </c>
      <c r="K32" s="473">
        <f>SUM(L32:T32)</f>
        <v>47612.26</v>
      </c>
      <c r="L32" s="473">
        <v>41252.51</v>
      </c>
      <c r="M32" s="473">
        <v>0</v>
      </c>
      <c r="N32" s="473">
        <v>0</v>
      </c>
      <c r="O32" s="473">
        <v>0</v>
      </c>
      <c r="P32" s="473">
        <v>0</v>
      </c>
      <c r="Q32" s="473">
        <v>0</v>
      </c>
      <c r="R32" s="473">
        <v>0</v>
      </c>
      <c r="S32" s="473">
        <v>0</v>
      </c>
      <c r="T32" s="473">
        <v>6359.75</v>
      </c>
      <c r="U32" s="489">
        <v>0</v>
      </c>
      <c r="V32" s="465">
        <v>324445.15999999997</v>
      </c>
      <c r="W32" s="472">
        <f>SUM(X32:AA32)</f>
        <v>90757724.719999999</v>
      </c>
      <c r="X32" s="473">
        <v>3144020.72</v>
      </c>
      <c r="Y32" s="473">
        <v>206233.7</v>
      </c>
      <c r="Z32" s="473">
        <v>39270110.5</v>
      </c>
      <c r="AA32" s="460">
        <v>48137359.799999997</v>
      </c>
      <c r="AB32" s="472">
        <f>SUM(AC32:AE32)</f>
        <v>210614.49</v>
      </c>
      <c r="AC32" s="473">
        <v>210614.49</v>
      </c>
      <c r="AD32" s="473"/>
      <c r="AE32" s="460"/>
      <c r="AF32" s="472">
        <f>AB32+W32+J32+C32+D32</f>
        <v>137395585.03</v>
      </c>
      <c r="AG32" s="460">
        <f>C32+D32+J32+X32+Y32+Z32+AD32+AE32</f>
        <v>89047610.74000001</v>
      </c>
      <c r="AH32" s="465"/>
    </row>
    <row r="33" spans="1:34" x14ac:dyDescent="0.3">
      <c r="A33" s="456" t="s">
        <v>381</v>
      </c>
      <c r="B33" s="457">
        <v>6708242033</v>
      </c>
      <c r="C33" s="457">
        <f t="shared" ref="C33:AF33" si="15">C34+C37</f>
        <v>1083989459.97</v>
      </c>
      <c r="D33" s="457">
        <f t="shared" si="15"/>
        <v>812037748</v>
      </c>
      <c r="E33" s="458">
        <f t="shared" si="15"/>
        <v>188859484</v>
      </c>
      <c r="F33" s="458">
        <f t="shared" si="15"/>
        <v>0</v>
      </c>
      <c r="G33" s="458">
        <f t="shared" si="15"/>
        <v>205764630</v>
      </c>
      <c r="H33" s="458">
        <f t="shared" si="15"/>
        <v>417413634</v>
      </c>
      <c r="I33" s="459">
        <f t="shared" si="15"/>
        <v>0</v>
      </c>
      <c r="J33" s="491">
        <f t="shared" si="15"/>
        <v>10079273.27</v>
      </c>
      <c r="K33" s="492">
        <f t="shared" si="15"/>
        <v>9164700.4999999981</v>
      </c>
      <c r="L33" s="492">
        <f t="shared" si="15"/>
        <v>829277.93</v>
      </c>
      <c r="M33" s="492">
        <f t="shared" si="15"/>
        <v>6715305.6100000003</v>
      </c>
      <c r="N33" s="492">
        <f t="shared" si="15"/>
        <v>196783.41999999998</v>
      </c>
      <c r="O33" s="492">
        <f t="shared" si="15"/>
        <v>139650</v>
      </c>
      <c r="P33" s="492">
        <f t="shared" si="15"/>
        <v>69372.069999999992</v>
      </c>
      <c r="Q33" s="492">
        <f t="shared" si="15"/>
        <v>0</v>
      </c>
      <c r="R33" s="492">
        <f t="shared" si="15"/>
        <v>0</v>
      </c>
      <c r="S33" s="492">
        <f t="shared" si="15"/>
        <v>1198428.27</v>
      </c>
      <c r="T33" s="492">
        <f t="shared" si="15"/>
        <v>15883.2</v>
      </c>
      <c r="U33" s="492">
        <f t="shared" si="15"/>
        <v>0</v>
      </c>
      <c r="V33" s="493">
        <f t="shared" si="15"/>
        <v>914572.77</v>
      </c>
      <c r="W33" s="457">
        <f t="shared" si="15"/>
        <v>2793525109.1799998</v>
      </c>
      <c r="X33" s="458">
        <f t="shared" si="15"/>
        <v>1136609095.9400001</v>
      </c>
      <c r="Y33" s="458">
        <f t="shared" si="15"/>
        <v>223447737.38999999</v>
      </c>
      <c r="Z33" s="458">
        <f t="shared" si="15"/>
        <v>1341269611.8800001</v>
      </c>
      <c r="AA33" s="459">
        <f t="shared" si="15"/>
        <v>92198663.970000014</v>
      </c>
      <c r="AB33" s="457">
        <f t="shared" si="15"/>
        <v>1651580298.54</v>
      </c>
      <c r="AC33" s="458">
        <f t="shared" si="15"/>
        <v>1524420662</v>
      </c>
      <c r="AD33" s="458">
        <f t="shared" si="15"/>
        <v>127159636.54000001</v>
      </c>
      <c r="AE33" s="459">
        <f t="shared" si="15"/>
        <v>0</v>
      </c>
      <c r="AF33" s="457">
        <f t="shared" si="15"/>
        <v>6351211888.96</v>
      </c>
      <c r="AG33" s="459">
        <f>AG34+AG37</f>
        <v>4734592562.9899998</v>
      </c>
      <c r="AH33" s="465"/>
    </row>
    <row r="34" spans="1:34" x14ac:dyDescent="0.3">
      <c r="A34" s="461" t="s">
        <v>382</v>
      </c>
      <c r="B34" s="462">
        <v>400467535.94999999</v>
      </c>
      <c r="C34" s="462">
        <f t="shared" ref="C34:AG34" si="16">C35+C36</f>
        <v>220815310.55000001</v>
      </c>
      <c r="D34" s="462">
        <f t="shared" si="16"/>
        <v>30192633</v>
      </c>
      <c r="E34" s="463">
        <f t="shared" si="16"/>
        <v>9689956</v>
      </c>
      <c r="F34" s="463">
        <f t="shared" si="16"/>
        <v>0</v>
      </c>
      <c r="G34" s="463">
        <f t="shared" si="16"/>
        <v>2657934</v>
      </c>
      <c r="H34" s="463">
        <f t="shared" si="16"/>
        <v>17844743</v>
      </c>
      <c r="I34" s="464">
        <f t="shared" si="16"/>
        <v>0</v>
      </c>
      <c r="J34" s="486">
        <f t="shared" si="16"/>
        <v>1168911.79</v>
      </c>
      <c r="K34" s="487">
        <f t="shared" si="16"/>
        <v>254339.02</v>
      </c>
      <c r="L34" s="487">
        <f t="shared" si="16"/>
        <v>0</v>
      </c>
      <c r="M34" s="487">
        <f t="shared" si="16"/>
        <v>3750.79</v>
      </c>
      <c r="N34" s="487">
        <f t="shared" si="16"/>
        <v>1571.8</v>
      </c>
      <c r="O34" s="487">
        <f t="shared" si="16"/>
        <v>0</v>
      </c>
      <c r="P34" s="487">
        <f t="shared" si="16"/>
        <v>11520.19</v>
      </c>
      <c r="Q34" s="487">
        <f t="shared" si="16"/>
        <v>0</v>
      </c>
      <c r="R34" s="487">
        <f t="shared" si="16"/>
        <v>0</v>
      </c>
      <c r="S34" s="487">
        <f t="shared" si="16"/>
        <v>237496.24</v>
      </c>
      <c r="T34" s="487">
        <f t="shared" si="16"/>
        <v>0</v>
      </c>
      <c r="U34" s="487">
        <f t="shared" si="16"/>
        <v>0</v>
      </c>
      <c r="V34" s="488">
        <f t="shared" si="16"/>
        <v>914572.77</v>
      </c>
      <c r="W34" s="462">
        <f t="shared" si="16"/>
        <v>283958398.81</v>
      </c>
      <c r="X34" s="463">
        <f t="shared" si="16"/>
        <v>28619009</v>
      </c>
      <c r="Y34" s="463">
        <f t="shared" si="16"/>
        <v>89396857.980000004</v>
      </c>
      <c r="Z34" s="463">
        <f t="shared" si="16"/>
        <v>164511655.65000001</v>
      </c>
      <c r="AA34" s="464">
        <f t="shared" si="16"/>
        <v>1430876.18</v>
      </c>
      <c r="AB34" s="462">
        <f t="shared" si="16"/>
        <v>1553885023.26</v>
      </c>
      <c r="AC34" s="463">
        <f t="shared" si="16"/>
        <v>1524420662</v>
      </c>
      <c r="AD34" s="463">
        <f t="shared" si="16"/>
        <v>29464361.260000002</v>
      </c>
      <c r="AE34" s="464">
        <f t="shared" si="16"/>
        <v>0</v>
      </c>
      <c r="AF34" s="462">
        <f t="shared" si="16"/>
        <v>2090020277.4099998</v>
      </c>
      <c r="AG34" s="464">
        <f t="shared" si="16"/>
        <v>564168739.23000002</v>
      </c>
      <c r="AH34" s="465"/>
    </row>
    <row r="35" spans="1:34" x14ac:dyDescent="0.3">
      <c r="A35" s="471" t="s">
        <v>383</v>
      </c>
      <c r="B35" s="472">
        <v>400467535.94999999</v>
      </c>
      <c r="C35" s="473">
        <v>30427090.460000001</v>
      </c>
      <c r="D35" s="472">
        <f>E35+F35+G35+H35+I35</f>
        <v>30192633</v>
      </c>
      <c r="E35" s="473">
        <v>9689956</v>
      </c>
      <c r="F35" s="473">
        <v>0</v>
      </c>
      <c r="G35" s="473">
        <v>2657934</v>
      </c>
      <c r="H35" s="473">
        <v>17844743</v>
      </c>
      <c r="I35" s="474"/>
      <c r="J35" s="478">
        <f>K35+U35+V35</f>
        <v>1168911.79</v>
      </c>
      <c r="K35" s="473">
        <f>SUM(L35:T35)</f>
        <v>254339.02</v>
      </c>
      <c r="L35" s="473">
        <v>0</v>
      </c>
      <c r="M35" s="473">
        <v>3750.79</v>
      </c>
      <c r="N35" s="473">
        <v>1571.8</v>
      </c>
      <c r="O35" s="473">
        <v>0</v>
      </c>
      <c r="P35" s="473">
        <v>11520.19</v>
      </c>
      <c r="Q35" s="473">
        <v>0</v>
      </c>
      <c r="R35" s="473">
        <v>0</v>
      </c>
      <c r="S35" s="473">
        <v>237496.24</v>
      </c>
      <c r="T35" s="473">
        <v>0</v>
      </c>
      <c r="U35" s="489">
        <v>0</v>
      </c>
      <c r="V35" s="465">
        <v>914572.77</v>
      </c>
      <c r="W35" s="472">
        <f>SUM(X35:AA35)</f>
        <v>204645284.81</v>
      </c>
      <c r="X35" s="473">
        <v>28619009</v>
      </c>
      <c r="Y35" s="473">
        <v>89396857.980000004</v>
      </c>
      <c r="Z35" s="473">
        <v>85198541.650000006</v>
      </c>
      <c r="AA35" s="460">
        <v>1430876.18</v>
      </c>
      <c r="AB35" s="472">
        <f>SUM(AC35:AE35)</f>
        <v>69566155.260000005</v>
      </c>
      <c r="AC35" s="473">
        <v>40101794</v>
      </c>
      <c r="AD35" s="473">
        <v>29464361.260000002</v>
      </c>
      <c r="AE35" s="460">
        <v>0</v>
      </c>
      <c r="AF35" s="472">
        <f>AB35+W35+J35+C35+D35</f>
        <v>336000075.31999999</v>
      </c>
      <c r="AG35" s="460">
        <f>C35+D35+J35+X35+Y35+Z35+AD35+AE35</f>
        <v>294467405.14000005</v>
      </c>
      <c r="AH35" s="465"/>
    </row>
    <row r="36" spans="1:34" x14ac:dyDescent="0.3">
      <c r="A36" s="471" t="s">
        <v>721</v>
      </c>
      <c r="B36" s="472"/>
      <c r="C36" s="473">
        <v>190388220.09</v>
      </c>
      <c r="D36" s="472">
        <f>E36+F36+G36+H36+I36</f>
        <v>0</v>
      </c>
      <c r="E36" s="473">
        <v>0</v>
      </c>
      <c r="F36" s="473">
        <v>0</v>
      </c>
      <c r="G36" s="473">
        <v>0</v>
      </c>
      <c r="H36" s="473">
        <v>0</v>
      </c>
      <c r="I36" s="474"/>
      <c r="J36" s="478">
        <f>K36+U36+V36</f>
        <v>0</v>
      </c>
      <c r="K36" s="473">
        <f>SUM(L36:T36)</f>
        <v>0</v>
      </c>
      <c r="L36" s="473">
        <v>0</v>
      </c>
      <c r="M36" s="473">
        <v>0</v>
      </c>
      <c r="N36" s="473">
        <v>0</v>
      </c>
      <c r="O36" s="473">
        <v>0</v>
      </c>
      <c r="P36" s="473">
        <v>0</v>
      </c>
      <c r="Q36" s="473">
        <v>0</v>
      </c>
      <c r="R36" s="473">
        <v>0</v>
      </c>
      <c r="S36" s="473">
        <v>0</v>
      </c>
      <c r="T36" s="473">
        <v>0</v>
      </c>
      <c r="U36" s="489">
        <v>0</v>
      </c>
      <c r="V36" s="465">
        <v>0</v>
      </c>
      <c r="W36" s="472">
        <f>SUM(X36:AA36)</f>
        <v>79313114</v>
      </c>
      <c r="X36" s="473">
        <v>0</v>
      </c>
      <c r="Y36" s="473">
        <v>0</v>
      </c>
      <c r="Z36" s="473">
        <v>79313114</v>
      </c>
      <c r="AA36" s="460">
        <v>0</v>
      </c>
      <c r="AB36" s="472">
        <f>SUM(AC36:AE36)</f>
        <v>1484318868</v>
      </c>
      <c r="AC36" s="473">
        <v>1484318868</v>
      </c>
      <c r="AD36" s="473">
        <v>0</v>
      </c>
      <c r="AE36" s="460"/>
      <c r="AF36" s="472">
        <f>AB36+W36+J36+C36+D36</f>
        <v>1754020202.0899999</v>
      </c>
      <c r="AG36" s="460">
        <f>C36+D36+J36+X36+Y36+Z36+AD36+AE36</f>
        <v>269701334.09000003</v>
      </c>
      <c r="AH36" s="465"/>
    </row>
    <row r="37" spans="1:34" x14ac:dyDescent="0.3">
      <c r="A37" s="461" t="s">
        <v>384</v>
      </c>
      <c r="B37" s="462">
        <v>6307774497.0500002</v>
      </c>
      <c r="C37" s="462">
        <f t="shared" ref="C37:AG37" si="17">C38</f>
        <v>863174149.41999996</v>
      </c>
      <c r="D37" s="462">
        <f t="shared" si="17"/>
        <v>781845115</v>
      </c>
      <c r="E37" s="463">
        <f t="shared" si="17"/>
        <v>179169528</v>
      </c>
      <c r="F37" s="463">
        <f t="shared" si="17"/>
        <v>0</v>
      </c>
      <c r="G37" s="463">
        <f t="shared" si="17"/>
        <v>203106696</v>
      </c>
      <c r="H37" s="463">
        <f t="shared" si="17"/>
        <v>399568891</v>
      </c>
      <c r="I37" s="464">
        <f t="shared" si="17"/>
        <v>0</v>
      </c>
      <c r="J37" s="486">
        <f t="shared" si="17"/>
        <v>8910361.4799999986</v>
      </c>
      <c r="K37" s="487">
        <f t="shared" si="17"/>
        <v>8910361.4799999986</v>
      </c>
      <c r="L37" s="487">
        <f t="shared" si="17"/>
        <v>829277.93</v>
      </c>
      <c r="M37" s="487">
        <f t="shared" si="17"/>
        <v>6711554.8200000003</v>
      </c>
      <c r="N37" s="487">
        <f t="shared" si="17"/>
        <v>195211.62</v>
      </c>
      <c r="O37" s="487">
        <f t="shared" si="17"/>
        <v>139650</v>
      </c>
      <c r="P37" s="487">
        <f t="shared" si="17"/>
        <v>57851.88</v>
      </c>
      <c r="Q37" s="487">
        <f t="shared" si="17"/>
        <v>0</v>
      </c>
      <c r="R37" s="487">
        <f t="shared" si="17"/>
        <v>0</v>
      </c>
      <c r="S37" s="487">
        <f t="shared" si="17"/>
        <v>960932.03</v>
      </c>
      <c r="T37" s="487">
        <f t="shared" si="17"/>
        <v>15883.2</v>
      </c>
      <c r="U37" s="487">
        <f t="shared" si="17"/>
        <v>0</v>
      </c>
      <c r="V37" s="488">
        <f t="shared" si="17"/>
        <v>0</v>
      </c>
      <c r="W37" s="462">
        <f t="shared" si="17"/>
        <v>2509566710.3699999</v>
      </c>
      <c r="X37" s="463">
        <f t="shared" si="17"/>
        <v>1107990086.9400001</v>
      </c>
      <c r="Y37" s="463">
        <f t="shared" si="17"/>
        <v>134050879.41</v>
      </c>
      <c r="Z37" s="463">
        <f t="shared" si="17"/>
        <v>1176757956.23</v>
      </c>
      <c r="AA37" s="464">
        <f t="shared" si="17"/>
        <v>90767787.790000007</v>
      </c>
      <c r="AB37" s="462">
        <f t="shared" si="17"/>
        <v>97695275.280000001</v>
      </c>
      <c r="AC37" s="463">
        <f t="shared" si="17"/>
        <v>0</v>
      </c>
      <c r="AD37" s="463">
        <f t="shared" si="17"/>
        <v>97695275.280000001</v>
      </c>
      <c r="AE37" s="464">
        <f t="shared" si="17"/>
        <v>0</v>
      </c>
      <c r="AF37" s="462">
        <f t="shared" si="17"/>
        <v>4261191611.5500002</v>
      </c>
      <c r="AG37" s="464">
        <f t="shared" si="17"/>
        <v>4170423823.7600002</v>
      </c>
      <c r="AH37" s="465"/>
    </row>
    <row r="38" spans="1:34" ht="13.5" thickBot="1" x14ac:dyDescent="0.35">
      <c r="A38" s="494" t="s">
        <v>386</v>
      </c>
      <c r="B38" s="495">
        <v>6307774497.0500002</v>
      </c>
      <c r="C38" s="496">
        <v>863174149.41999996</v>
      </c>
      <c r="D38" s="495">
        <f>E38+F38+G38+H38+I38</f>
        <v>781845115</v>
      </c>
      <c r="E38" s="496">
        <v>179169528</v>
      </c>
      <c r="F38" s="496">
        <v>0</v>
      </c>
      <c r="G38" s="496">
        <v>203106696</v>
      </c>
      <c r="H38" s="496">
        <v>399568891</v>
      </c>
      <c r="I38" s="497"/>
      <c r="J38" s="498">
        <f>K38+U38+V38</f>
        <v>8910361.4799999986</v>
      </c>
      <c r="K38" s="496">
        <f>SUM(L38:T38)</f>
        <v>8910361.4799999986</v>
      </c>
      <c r="L38" s="496">
        <v>829277.93</v>
      </c>
      <c r="M38" s="496">
        <v>6711554.8200000003</v>
      </c>
      <c r="N38" s="496">
        <v>195211.62</v>
      </c>
      <c r="O38" s="496">
        <v>139650</v>
      </c>
      <c r="P38" s="496">
        <v>57851.88</v>
      </c>
      <c r="Q38" s="496">
        <v>0</v>
      </c>
      <c r="R38" s="496">
        <v>0</v>
      </c>
      <c r="S38" s="496">
        <v>960932.03</v>
      </c>
      <c r="T38" s="496">
        <v>15883.2</v>
      </c>
      <c r="U38" s="499">
        <v>0</v>
      </c>
      <c r="V38" s="500">
        <v>0</v>
      </c>
      <c r="W38" s="495">
        <f>SUM(X38:AA38)</f>
        <v>2509566710.3699999</v>
      </c>
      <c r="X38" s="496">
        <v>1107990086.9400001</v>
      </c>
      <c r="Y38" s="496">
        <v>134050879.41</v>
      </c>
      <c r="Z38" s="496">
        <v>1176757956.23</v>
      </c>
      <c r="AA38" s="501">
        <v>90767787.790000007</v>
      </c>
      <c r="AB38" s="495">
        <f>SUM(AC38:AE38)</f>
        <v>97695275.280000001</v>
      </c>
      <c r="AC38" s="496">
        <v>0</v>
      </c>
      <c r="AD38" s="496">
        <v>97695275.280000001</v>
      </c>
      <c r="AE38" s="501"/>
      <c r="AF38" s="495">
        <f>AB38+W38+J38+C38+D38</f>
        <v>4261191611.5500002</v>
      </c>
      <c r="AG38" s="501">
        <f>C38+D38+J38+X38+Y38+Z38+AD38+AE38</f>
        <v>4170423823.7600002</v>
      </c>
      <c r="AH38" s="500"/>
    </row>
  </sheetData>
  <sheetProtection sheet="1" selectLockedCells="1" selectUnlockedCells="1"/>
  <mergeCells count="5">
    <mergeCell ref="D1:I1"/>
    <mergeCell ref="J1:V1"/>
    <mergeCell ref="W1:AA1"/>
    <mergeCell ref="AB1:AE1"/>
    <mergeCell ref="AF1:AH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40191-8C57-4023-94F3-F7BB86A28E9B}">
  <dimension ref="A1:X52"/>
  <sheetViews>
    <sheetView showGridLines="0" zoomScaleNormal="100" workbookViewId="0">
      <pane xSplit="1" ySplit="2" topLeftCell="B3" activePane="bottomRight" state="frozen"/>
      <selection activeCell="H1" sqref="H1:O1"/>
      <selection pane="topRight" activeCell="H1" sqref="H1:O1"/>
      <selection pane="bottomLeft" activeCell="H1" sqref="H1:O1"/>
      <selection pane="bottomRight" sqref="A1:XFD1048576"/>
    </sheetView>
  </sheetViews>
  <sheetFormatPr defaultColWidth="9.08984375" defaultRowHeight="12.5" x14ac:dyDescent="0.25"/>
  <cols>
    <col min="1" max="1" width="41.453125" style="538" customWidth="1"/>
    <col min="2" max="13" width="15.6328125" style="538" customWidth="1"/>
    <col min="14" max="16" width="9.08984375" style="538"/>
    <col min="17" max="17" width="12.453125" style="538" bestFit="1" customWidth="1"/>
    <col min="18" max="23" width="9.08984375" style="538"/>
    <col min="24" max="24" width="9.54296875" style="538" bestFit="1" customWidth="1"/>
    <col min="25" max="16384" width="9.08984375" style="538"/>
  </cols>
  <sheetData>
    <row r="1" spans="1:24" ht="13.5" thickBot="1" x14ac:dyDescent="0.35">
      <c r="B1" s="904" t="s">
        <v>335</v>
      </c>
      <c r="C1" s="904"/>
      <c r="D1" s="904"/>
      <c r="E1" s="904"/>
      <c r="F1" s="904"/>
      <c r="G1" s="904"/>
      <c r="H1" s="904"/>
      <c r="I1" s="904"/>
      <c r="J1" s="904"/>
      <c r="K1" s="904"/>
      <c r="L1" s="904"/>
      <c r="M1" s="904"/>
      <c r="N1" s="904"/>
      <c r="O1" s="904"/>
      <c r="P1" s="904"/>
    </row>
    <row r="2" spans="1:24" ht="89.5" customHeight="1" thickBot="1" x14ac:dyDescent="0.3">
      <c r="A2" s="539" t="s">
        <v>259</v>
      </c>
      <c r="B2" s="540" t="s">
        <v>336</v>
      </c>
      <c r="C2" s="541" t="s">
        <v>337</v>
      </c>
      <c r="D2" s="541" t="s">
        <v>338</v>
      </c>
      <c r="E2" s="541" t="s">
        <v>339</v>
      </c>
      <c r="F2" s="541" t="s">
        <v>340</v>
      </c>
      <c r="G2" s="541" t="s">
        <v>341</v>
      </c>
      <c r="H2" s="541" t="s">
        <v>342</v>
      </c>
      <c r="I2" s="541" t="s">
        <v>343</v>
      </c>
      <c r="J2" s="541" t="s">
        <v>344</v>
      </c>
      <c r="K2" s="541" t="s">
        <v>345</v>
      </c>
      <c r="L2" s="541" t="s">
        <v>346</v>
      </c>
      <c r="M2" s="542" t="s">
        <v>347</v>
      </c>
    </row>
    <row r="3" spans="1:24" s="548" customFormat="1" ht="13" x14ac:dyDescent="0.3">
      <c r="A3" s="543" t="s">
        <v>348</v>
      </c>
      <c r="B3" s="544">
        <f>B4+B20+B38</f>
        <v>2</v>
      </c>
      <c r="C3" s="545">
        <f>(B3*1000000)/$M3</f>
        <v>1.6702755199092124E-2</v>
      </c>
      <c r="D3" s="544">
        <f>D4+D20+D38</f>
        <v>176</v>
      </c>
      <c r="E3" s="546">
        <f>(D3*1000000)/$M3</f>
        <v>1.4698424575201068</v>
      </c>
      <c r="F3" s="544">
        <f>F4+F20+F38</f>
        <v>46</v>
      </c>
      <c r="G3" s="545">
        <f>(F3*1000000)/$M3</f>
        <v>0.38416336957911884</v>
      </c>
      <c r="H3" s="544">
        <f>H4+H20+H38</f>
        <v>39</v>
      </c>
      <c r="I3" s="545">
        <f>(H3*1000000)/$M3</f>
        <v>0.32570372638229639</v>
      </c>
      <c r="J3" s="544">
        <f>J4+J20+J38</f>
        <v>89</v>
      </c>
      <c r="K3" s="545">
        <f>(J3*1000000)/$M3</f>
        <v>0.74327260635959946</v>
      </c>
      <c r="L3" s="545">
        <f>L4+L20+L38</f>
        <v>0</v>
      </c>
      <c r="M3" s="547">
        <f>M4+M20+M38</f>
        <v>119740723.98</v>
      </c>
      <c r="Q3" s="549"/>
      <c r="X3" s="549"/>
    </row>
    <row r="4" spans="1:24" s="548" customFormat="1" ht="13" x14ac:dyDescent="0.3">
      <c r="A4" s="550" t="s">
        <v>349</v>
      </c>
      <c r="B4" s="551">
        <f>B5+B6+B8+B10+B12+B14+B18</f>
        <v>1</v>
      </c>
      <c r="C4" s="552">
        <f>(B4*1000000)/$M4</f>
        <v>1.477358556768426E-2</v>
      </c>
      <c r="D4" s="551">
        <f>D5+D6+D8+D10+D12+D14+D18</f>
        <v>81</v>
      </c>
      <c r="E4" s="552">
        <f>(D4*1000000)/$M4</f>
        <v>1.1966604309824249</v>
      </c>
      <c r="F4" s="551">
        <f>F5+F6+F8+F10+F12+F14+F18</f>
        <v>15</v>
      </c>
      <c r="G4" s="552">
        <f>(F4*1000000)/$M4</f>
        <v>0.22160378351526389</v>
      </c>
      <c r="H4" s="551">
        <f>H5+H6+H8+H10+H12+H14+H18</f>
        <v>17</v>
      </c>
      <c r="I4" s="552">
        <f>(H4*1000000)/$M4</f>
        <v>0.25115095465063242</v>
      </c>
      <c r="J4" s="551">
        <f>J5+J6+J8+J10+J12+J14+J18</f>
        <v>48</v>
      </c>
      <c r="K4" s="552">
        <f>(J4*1000000)/$M4</f>
        <v>0.70913210724884446</v>
      </c>
      <c r="L4" s="552">
        <f>L5+L6+L8+L10+L12+L14+L18</f>
        <v>0</v>
      </c>
      <c r="M4" s="553">
        <f>M5+M6+M8+M10+M12+M14+M18</f>
        <v>67688375</v>
      </c>
    </row>
    <row r="5" spans="1:24" x14ac:dyDescent="0.25">
      <c r="A5" s="554" t="s">
        <v>350</v>
      </c>
      <c r="B5" s="555">
        <v>0</v>
      </c>
      <c r="C5" s="556">
        <v>0</v>
      </c>
      <c r="D5" s="555">
        <v>0</v>
      </c>
      <c r="E5" s="556">
        <f>(D5*1000000)/$M5</f>
        <v>0</v>
      </c>
      <c r="F5" s="555">
        <v>0</v>
      </c>
      <c r="G5" s="556">
        <v>0</v>
      </c>
      <c r="H5" s="555">
        <v>0</v>
      </c>
      <c r="I5" s="556">
        <v>0</v>
      </c>
      <c r="J5" s="557">
        <v>0</v>
      </c>
      <c r="K5" s="556">
        <f>(J5*1000000)/$M5</f>
        <v>0</v>
      </c>
      <c r="L5" s="558">
        <v>0</v>
      </c>
      <c r="M5" s="559">
        <f>263489+331600+49783+334936</f>
        <v>979808</v>
      </c>
    </row>
    <row r="6" spans="1:24" x14ac:dyDescent="0.25">
      <c r="A6" s="560" t="s">
        <v>351</v>
      </c>
      <c r="B6" s="561">
        <f>B7</f>
        <v>0</v>
      </c>
      <c r="C6" s="562">
        <v>0</v>
      </c>
      <c r="D6" s="561">
        <f t="shared" ref="D6:M6" si="0">D7</f>
        <v>17</v>
      </c>
      <c r="E6" s="562">
        <f t="shared" si="0"/>
        <v>0.92239705384210657</v>
      </c>
      <c r="F6" s="561">
        <f t="shared" si="0"/>
        <v>2</v>
      </c>
      <c r="G6" s="562">
        <f t="shared" si="0"/>
        <v>0.10851730045201254</v>
      </c>
      <c r="H6" s="561">
        <f t="shared" si="0"/>
        <v>1</v>
      </c>
      <c r="I6" s="562">
        <f t="shared" si="0"/>
        <v>5.4258650226006268E-2</v>
      </c>
      <c r="J6" s="561">
        <f t="shared" si="0"/>
        <v>14</v>
      </c>
      <c r="K6" s="562">
        <f t="shared" si="0"/>
        <v>0.75962110316408771</v>
      </c>
      <c r="L6" s="562">
        <f t="shared" si="0"/>
        <v>0</v>
      </c>
      <c r="M6" s="563">
        <f t="shared" si="0"/>
        <v>18430241</v>
      </c>
    </row>
    <row r="7" spans="1:24" x14ac:dyDescent="0.25">
      <c r="A7" s="564" t="s">
        <v>352</v>
      </c>
      <c r="B7" s="557">
        <v>0</v>
      </c>
      <c r="C7" s="565">
        <v>0</v>
      </c>
      <c r="D7" s="557">
        <f>4+13</f>
        <v>17</v>
      </c>
      <c r="E7" s="565">
        <f>(D7*1000000)/$M$7</f>
        <v>0.92239705384210657</v>
      </c>
      <c r="F7" s="557">
        <v>2</v>
      </c>
      <c r="G7" s="565">
        <f>(F7*1000000)/$M$7</f>
        <v>0.10851730045201254</v>
      </c>
      <c r="H7" s="557">
        <v>1</v>
      </c>
      <c r="I7" s="565">
        <f>(H7*1000000)/$M$7</f>
        <v>5.4258650226006268E-2</v>
      </c>
      <c r="J7" s="557">
        <f>4+10</f>
        <v>14</v>
      </c>
      <c r="K7" s="565">
        <f>(J7*1000000)/$M$7</f>
        <v>0.75962110316408771</v>
      </c>
      <c r="L7" s="565">
        <v>0</v>
      </c>
      <c r="M7" s="566">
        <f>6139348+12290893</f>
        <v>18430241</v>
      </c>
    </row>
    <row r="8" spans="1:24" x14ac:dyDescent="0.25">
      <c r="A8" s="560" t="s">
        <v>354</v>
      </c>
      <c r="B8" s="561">
        <f t="shared" ref="B8:M8" si="1">B9</f>
        <v>1</v>
      </c>
      <c r="C8" s="562">
        <f t="shared" si="1"/>
        <v>0.17261387639500061</v>
      </c>
      <c r="D8" s="561">
        <f t="shared" si="1"/>
        <v>9</v>
      </c>
      <c r="E8" s="562">
        <f t="shared" si="1"/>
        <v>1.55</v>
      </c>
      <c r="F8" s="561">
        <f t="shared" si="1"/>
        <v>2</v>
      </c>
      <c r="G8" s="562">
        <f t="shared" si="1"/>
        <v>0.35</v>
      </c>
      <c r="H8" s="561">
        <f t="shared" si="1"/>
        <v>0</v>
      </c>
      <c r="I8" s="561">
        <f t="shared" si="1"/>
        <v>0</v>
      </c>
      <c r="J8" s="561">
        <f t="shared" si="1"/>
        <v>6</v>
      </c>
      <c r="K8" s="562">
        <f t="shared" si="1"/>
        <v>1.04</v>
      </c>
      <c r="L8" s="561">
        <f t="shared" si="1"/>
        <v>0</v>
      </c>
      <c r="M8" s="563">
        <f t="shared" si="1"/>
        <v>5793277</v>
      </c>
    </row>
    <row r="9" spans="1:24" x14ac:dyDescent="0.25">
      <c r="A9" s="567" t="s">
        <v>355</v>
      </c>
      <c r="B9" s="555">
        <v>1</v>
      </c>
      <c r="C9" s="556">
        <f>(B9*1000000)/$M9</f>
        <v>0.17261387639500061</v>
      </c>
      <c r="D9" s="555">
        <v>9</v>
      </c>
      <c r="E9" s="556">
        <v>1.55</v>
      </c>
      <c r="F9" s="555">
        <v>2</v>
      </c>
      <c r="G9" s="556">
        <v>0.35</v>
      </c>
      <c r="H9" s="555">
        <v>0</v>
      </c>
      <c r="I9" s="556">
        <v>0</v>
      </c>
      <c r="J9" s="557">
        <v>6</v>
      </c>
      <c r="K9" s="556">
        <v>1.04</v>
      </c>
      <c r="L9" s="558">
        <v>0</v>
      </c>
      <c r="M9" s="559">
        <v>5793277</v>
      </c>
    </row>
    <row r="10" spans="1:24" x14ac:dyDescent="0.25">
      <c r="A10" s="560" t="s">
        <v>356</v>
      </c>
      <c r="B10" s="562">
        <f t="shared" ref="B10:M10" si="2">B11</f>
        <v>0</v>
      </c>
      <c r="C10" s="562">
        <f t="shared" si="2"/>
        <v>0</v>
      </c>
      <c r="D10" s="561">
        <f t="shared" si="2"/>
        <v>17</v>
      </c>
      <c r="E10" s="562">
        <f t="shared" si="2"/>
        <v>1.2</v>
      </c>
      <c r="F10" s="561">
        <f t="shared" si="2"/>
        <v>2</v>
      </c>
      <c r="G10" s="562">
        <f t="shared" si="2"/>
        <v>0.14000000000000001</v>
      </c>
      <c r="H10" s="561">
        <f t="shared" si="2"/>
        <v>5</v>
      </c>
      <c r="I10" s="562">
        <f t="shared" si="2"/>
        <v>0.35</v>
      </c>
      <c r="J10" s="561">
        <f t="shared" si="2"/>
        <v>10</v>
      </c>
      <c r="K10" s="562">
        <f t="shared" si="2"/>
        <v>0.7</v>
      </c>
      <c r="L10" s="562">
        <f t="shared" si="2"/>
        <v>0</v>
      </c>
      <c r="M10" s="563">
        <f t="shared" si="2"/>
        <v>14186565</v>
      </c>
    </row>
    <row r="11" spans="1:24" x14ac:dyDescent="0.25">
      <c r="A11" s="567" t="s">
        <v>357</v>
      </c>
      <c r="B11" s="555">
        <v>0</v>
      </c>
      <c r="C11" s="556">
        <v>0</v>
      </c>
      <c r="D11" s="555">
        <v>17</v>
      </c>
      <c r="E11" s="556">
        <v>1.2</v>
      </c>
      <c r="F11" s="555">
        <v>2</v>
      </c>
      <c r="G11" s="556">
        <v>0.14000000000000001</v>
      </c>
      <c r="H11" s="555">
        <v>5</v>
      </c>
      <c r="I11" s="556">
        <v>0.35</v>
      </c>
      <c r="J11" s="557">
        <v>10</v>
      </c>
      <c r="K11" s="556">
        <v>0.7</v>
      </c>
      <c r="L11" s="558">
        <v>0</v>
      </c>
      <c r="M11" s="559">
        <v>14186565</v>
      </c>
    </row>
    <row r="12" spans="1:24" x14ac:dyDescent="0.25">
      <c r="A12" s="560" t="s">
        <v>358</v>
      </c>
      <c r="B12" s="561">
        <f>B13</f>
        <v>0</v>
      </c>
      <c r="C12" s="562">
        <v>0</v>
      </c>
      <c r="D12" s="561">
        <f t="shared" ref="D12:M12" si="3">D13</f>
        <v>5</v>
      </c>
      <c r="E12" s="562">
        <f t="shared" si="3"/>
        <v>1.5854403306848024</v>
      </c>
      <c r="F12" s="561">
        <f t="shared" si="3"/>
        <v>1</v>
      </c>
      <c r="G12" s="562">
        <f t="shared" si="3"/>
        <v>0.3170880661369605</v>
      </c>
      <c r="H12" s="561">
        <f t="shared" si="3"/>
        <v>1</v>
      </c>
      <c r="I12" s="562">
        <f t="shared" si="3"/>
        <v>0.3170880661369605</v>
      </c>
      <c r="J12" s="561">
        <f t="shared" si="3"/>
        <v>3</v>
      </c>
      <c r="K12" s="562">
        <f t="shared" si="3"/>
        <v>0.9512641984108815</v>
      </c>
      <c r="L12" s="562">
        <f t="shared" si="3"/>
        <v>0</v>
      </c>
      <c r="M12" s="563">
        <f t="shared" si="3"/>
        <v>3153698</v>
      </c>
    </row>
    <row r="13" spans="1:24" x14ac:dyDescent="0.25">
      <c r="A13" s="567" t="s">
        <v>359</v>
      </c>
      <c r="B13" s="555">
        <v>0</v>
      </c>
      <c r="C13" s="556">
        <v>0</v>
      </c>
      <c r="D13" s="555">
        <v>5</v>
      </c>
      <c r="E13" s="556">
        <f>(D13*1000000)/$M13</f>
        <v>1.5854403306848024</v>
      </c>
      <c r="F13" s="555">
        <v>1</v>
      </c>
      <c r="G13" s="556">
        <f>(F13*1000000)/$M13</f>
        <v>0.3170880661369605</v>
      </c>
      <c r="H13" s="555">
        <v>1</v>
      </c>
      <c r="I13" s="556">
        <f>(H13*1000000)/$M13</f>
        <v>0.3170880661369605</v>
      </c>
      <c r="J13" s="557">
        <v>3</v>
      </c>
      <c r="K13" s="556">
        <f>(J13*1000000)/$M13</f>
        <v>0.9512641984108815</v>
      </c>
      <c r="L13" s="558">
        <v>0</v>
      </c>
      <c r="M13" s="559">
        <v>3153698</v>
      </c>
    </row>
    <row r="14" spans="1:24" x14ac:dyDescent="0.25">
      <c r="A14" s="560" t="s">
        <v>360</v>
      </c>
      <c r="B14" s="561">
        <f>B15+B16+B17</f>
        <v>0</v>
      </c>
      <c r="C14" s="562">
        <v>0</v>
      </c>
      <c r="D14" s="561">
        <f>D15+D16+D17</f>
        <v>24</v>
      </c>
      <c r="E14" s="562">
        <f>(D14*1000000)/$M14</f>
        <v>1.6282311398934133</v>
      </c>
      <c r="F14" s="561">
        <f>F15+F16+F17</f>
        <v>5</v>
      </c>
      <c r="G14" s="562">
        <f>(F14*1000000)/$M14</f>
        <v>0.33921482081112775</v>
      </c>
      <c r="H14" s="561">
        <f>H15+H16+H17</f>
        <v>7</v>
      </c>
      <c r="I14" s="562">
        <f>(H14*1000000)/$M14</f>
        <v>0.47490074913557889</v>
      </c>
      <c r="J14" s="561">
        <f>J15+J16+J17</f>
        <v>12</v>
      </c>
      <c r="K14" s="562">
        <f>(J14*1000000)/$M14</f>
        <v>0.81411556994670664</v>
      </c>
      <c r="L14" s="562">
        <f>L15+L16+L17</f>
        <v>0</v>
      </c>
      <c r="M14" s="563">
        <f>M15+M16+M17</f>
        <v>14739922</v>
      </c>
    </row>
    <row r="15" spans="1:24" x14ac:dyDescent="0.25">
      <c r="A15" s="567" t="s">
        <v>361</v>
      </c>
      <c r="B15" s="555">
        <v>0</v>
      </c>
      <c r="C15" s="556">
        <v>0</v>
      </c>
      <c r="D15" s="555">
        <v>16</v>
      </c>
      <c r="E15" s="556">
        <v>2.9</v>
      </c>
      <c r="F15" s="555">
        <v>4</v>
      </c>
      <c r="G15" s="556">
        <v>0.73</v>
      </c>
      <c r="H15" s="555">
        <v>7</v>
      </c>
      <c r="I15" s="556">
        <v>1.27</v>
      </c>
      <c r="J15" s="557">
        <v>5</v>
      </c>
      <c r="K15" s="556">
        <v>0.91</v>
      </c>
      <c r="L15" s="558">
        <v>0</v>
      </c>
      <c r="M15" s="559">
        <v>5508859</v>
      </c>
    </row>
    <row r="16" spans="1:24" x14ac:dyDescent="0.25">
      <c r="A16" s="567" t="s">
        <v>362</v>
      </c>
      <c r="B16" s="555">
        <v>0</v>
      </c>
      <c r="C16" s="556">
        <v>0</v>
      </c>
      <c r="D16" s="555">
        <v>1</v>
      </c>
      <c r="E16" s="556">
        <v>0.69</v>
      </c>
      <c r="F16" s="555">
        <v>0</v>
      </c>
      <c r="G16" s="556">
        <v>0</v>
      </c>
      <c r="H16" s="555">
        <v>0</v>
      </c>
      <c r="I16" s="556">
        <v>0</v>
      </c>
      <c r="J16" s="557">
        <v>1</v>
      </c>
      <c r="K16" s="556">
        <v>0.69</v>
      </c>
      <c r="L16" s="558">
        <v>0</v>
      </c>
      <c r="M16" s="559">
        <v>1454686</v>
      </c>
    </row>
    <row r="17" spans="1:13" x14ac:dyDescent="0.25">
      <c r="A17" s="567" t="s">
        <v>363</v>
      </c>
      <c r="B17" s="555">
        <v>0</v>
      </c>
      <c r="C17" s="556">
        <v>0</v>
      </c>
      <c r="D17" s="555">
        <v>7</v>
      </c>
      <c r="E17" s="556">
        <v>0.9</v>
      </c>
      <c r="F17" s="555">
        <v>1</v>
      </c>
      <c r="G17" s="556">
        <v>0.13</v>
      </c>
      <c r="H17" s="555">
        <v>0</v>
      </c>
      <c r="I17" s="556">
        <v>0</v>
      </c>
      <c r="J17" s="557">
        <v>6</v>
      </c>
      <c r="K17" s="556">
        <v>0.77</v>
      </c>
      <c r="L17" s="558">
        <v>0</v>
      </c>
      <c r="M17" s="559">
        <v>7776377</v>
      </c>
    </row>
    <row r="18" spans="1:13" x14ac:dyDescent="0.25">
      <c r="A18" s="560" t="s">
        <v>364</v>
      </c>
      <c r="B18" s="561">
        <f>B19</f>
        <v>0</v>
      </c>
      <c r="C18" s="562">
        <v>0</v>
      </c>
      <c r="D18" s="561">
        <f t="shared" ref="D18:M18" si="4">D19</f>
        <v>9</v>
      </c>
      <c r="E18" s="562">
        <f t="shared" si="4"/>
        <v>0.86</v>
      </c>
      <c r="F18" s="561">
        <f t="shared" si="4"/>
        <v>3</v>
      </c>
      <c r="G18" s="562">
        <f t="shared" si="4"/>
        <v>0.28999999999999998</v>
      </c>
      <c r="H18" s="561">
        <f t="shared" si="4"/>
        <v>3</v>
      </c>
      <c r="I18" s="562">
        <f t="shared" si="4"/>
        <v>0.28999999999999998</v>
      </c>
      <c r="J18" s="561">
        <f t="shared" si="4"/>
        <v>3</v>
      </c>
      <c r="K18" s="562">
        <f t="shared" si="4"/>
        <v>0.28999999999999998</v>
      </c>
      <c r="L18" s="562">
        <f t="shared" si="4"/>
        <v>0</v>
      </c>
      <c r="M18" s="563">
        <f t="shared" si="4"/>
        <v>10404864</v>
      </c>
    </row>
    <row r="19" spans="1:13" x14ac:dyDescent="0.25">
      <c r="A19" s="567" t="s">
        <v>365</v>
      </c>
      <c r="B19" s="555">
        <v>0</v>
      </c>
      <c r="C19" s="556">
        <v>0</v>
      </c>
      <c r="D19" s="555">
        <v>9</v>
      </c>
      <c r="E19" s="556">
        <v>0.86</v>
      </c>
      <c r="F19" s="555">
        <v>3</v>
      </c>
      <c r="G19" s="556">
        <v>0.28999999999999998</v>
      </c>
      <c r="H19" s="555">
        <v>3</v>
      </c>
      <c r="I19" s="556">
        <v>0.28999999999999998</v>
      </c>
      <c r="J19" s="557">
        <v>3</v>
      </c>
      <c r="K19" s="556">
        <v>0.28999999999999998</v>
      </c>
      <c r="L19" s="558">
        <v>0</v>
      </c>
      <c r="M19" s="559">
        <v>10404864</v>
      </c>
    </row>
    <row r="20" spans="1:13" s="548" customFormat="1" ht="13" x14ac:dyDescent="0.3">
      <c r="A20" s="568" t="s">
        <v>366</v>
      </c>
      <c r="B20" s="569">
        <f>B21+B22+B27+B30+B32+B36</f>
        <v>0</v>
      </c>
      <c r="C20" s="570">
        <v>0</v>
      </c>
      <c r="D20" s="569">
        <f>D21+D22+D27+D30+D32+D36</f>
        <v>23</v>
      </c>
      <c r="E20" s="570">
        <f>(D20*1000000)/$M20</f>
        <v>0.69981136627219342</v>
      </c>
      <c r="F20" s="569">
        <f>F21+F22+F27+F30+F32+F36</f>
        <v>5</v>
      </c>
      <c r="G20" s="570">
        <f>(F20*1000000)/$M20</f>
        <v>0.15213290571134641</v>
      </c>
      <c r="H20" s="569">
        <f>H21+H22+H27+H30+H32+H36</f>
        <v>7</v>
      </c>
      <c r="I20" s="570">
        <f>(H20*1000000)/$M20</f>
        <v>0.21298606799588496</v>
      </c>
      <c r="J20" s="569">
        <f>J21+J22+J27+J30+J32+J36</f>
        <v>11</v>
      </c>
      <c r="K20" s="570">
        <f>(J20*1000000)/$M20</f>
        <v>0.33469239256496208</v>
      </c>
      <c r="L20" s="570">
        <f>L21+L22+L27+L30+L32+L36</f>
        <v>0</v>
      </c>
      <c r="M20" s="571">
        <f>M21+M22+M27+M30+M32+M36</f>
        <v>32865999.48</v>
      </c>
    </row>
    <row r="21" spans="1:13" s="575" customFormat="1" ht="13" x14ac:dyDescent="0.3">
      <c r="A21" s="572" t="s">
        <v>350</v>
      </c>
      <c r="B21" s="573">
        <v>0</v>
      </c>
      <c r="C21" s="565">
        <v>0</v>
      </c>
      <c r="D21" s="557">
        <v>3</v>
      </c>
      <c r="E21" s="565">
        <v>2.91</v>
      </c>
      <c r="F21" s="557">
        <v>1</v>
      </c>
      <c r="G21" s="565">
        <v>0.97</v>
      </c>
      <c r="H21" s="557">
        <v>1</v>
      </c>
      <c r="I21" s="556">
        <v>0.97</v>
      </c>
      <c r="J21" s="557">
        <v>1</v>
      </c>
      <c r="K21" s="556">
        <v>0.97</v>
      </c>
      <c r="L21" s="574"/>
      <c r="M21" s="566">
        <v>1032022</v>
      </c>
    </row>
    <row r="22" spans="1:13" x14ac:dyDescent="0.25">
      <c r="A22" s="560" t="s">
        <v>367</v>
      </c>
      <c r="B22" s="561">
        <f>B23+B24+B26</f>
        <v>0</v>
      </c>
      <c r="C22" s="562">
        <v>0</v>
      </c>
      <c r="D22" s="561">
        <f>D23+D24+D26</f>
        <v>6</v>
      </c>
      <c r="E22" s="562">
        <f>(D22*1000000)/$M22</f>
        <v>0.45950546796190028</v>
      </c>
      <c r="F22" s="561">
        <f>F23+F24+F26</f>
        <v>3</v>
      </c>
      <c r="G22" s="562">
        <f>(F22*1000000)/$M22</f>
        <v>0.22975273398095014</v>
      </c>
      <c r="H22" s="561">
        <f>H23+H24+H26</f>
        <v>0</v>
      </c>
      <c r="I22" s="562">
        <f>(H22*1000000)/$M22</f>
        <v>0</v>
      </c>
      <c r="J22" s="561">
        <f>J23+J24+J26</f>
        <v>3</v>
      </c>
      <c r="K22" s="562">
        <f>(J22*1000000)/$M22</f>
        <v>0.22975273398095014</v>
      </c>
      <c r="L22" s="562">
        <f>L23+L24+L26</f>
        <v>0</v>
      </c>
      <c r="M22" s="563">
        <f>M23+M24+M26</f>
        <v>13057516</v>
      </c>
    </row>
    <row r="23" spans="1:13" x14ac:dyDescent="0.25">
      <c r="A23" s="567" t="s">
        <v>368</v>
      </c>
      <c r="B23" s="555">
        <v>0</v>
      </c>
      <c r="C23" s="556">
        <v>0</v>
      </c>
      <c r="D23" s="555">
        <v>6</v>
      </c>
      <c r="E23" s="556">
        <v>0.48</v>
      </c>
      <c r="F23" s="555">
        <v>3</v>
      </c>
      <c r="G23" s="556">
        <v>0.24</v>
      </c>
      <c r="H23" s="555">
        <v>0</v>
      </c>
      <c r="I23" s="556">
        <v>0</v>
      </c>
      <c r="J23" s="555">
        <v>3</v>
      </c>
      <c r="K23" s="556">
        <v>0.24</v>
      </c>
      <c r="L23" s="558">
        <v>0</v>
      </c>
      <c r="M23" s="559">
        <v>12390484</v>
      </c>
    </row>
    <row r="24" spans="1:13" x14ac:dyDescent="0.25">
      <c r="A24" s="567" t="s">
        <v>369</v>
      </c>
      <c r="B24" s="555">
        <v>0</v>
      </c>
      <c r="C24" s="556">
        <v>0</v>
      </c>
      <c r="D24" s="555">
        <v>0</v>
      </c>
      <c r="E24" s="556">
        <v>0</v>
      </c>
      <c r="F24" s="555">
        <v>0</v>
      </c>
      <c r="G24" s="556">
        <v>0</v>
      </c>
      <c r="H24" s="555">
        <v>0</v>
      </c>
      <c r="I24" s="556">
        <v>0</v>
      </c>
      <c r="J24" s="555">
        <v>0</v>
      </c>
      <c r="K24" s="556">
        <v>0</v>
      </c>
      <c r="L24" s="558">
        <v>0</v>
      </c>
      <c r="M24" s="559">
        <v>390324</v>
      </c>
    </row>
    <row r="25" spans="1:13" hidden="1" x14ac:dyDescent="0.25">
      <c r="A25" s="576" t="s">
        <v>350</v>
      </c>
      <c r="B25" s="555">
        <v>0</v>
      </c>
      <c r="C25" s="556">
        <v>0</v>
      </c>
      <c r="D25" s="555">
        <v>2</v>
      </c>
      <c r="E25" s="556">
        <v>3.2880081411081576</v>
      </c>
      <c r="F25" s="555">
        <v>0</v>
      </c>
      <c r="G25" s="556">
        <v>0</v>
      </c>
      <c r="H25" s="555">
        <v>1</v>
      </c>
      <c r="I25" s="556">
        <v>1.6440040705540788</v>
      </c>
      <c r="J25" s="555">
        <v>1</v>
      </c>
      <c r="K25" s="556">
        <v>1.6440040705540788</v>
      </c>
      <c r="L25" s="558">
        <v>0</v>
      </c>
      <c r="M25" s="559">
        <v>608271</v>
      </c>
    </row>
    <row r="26" spans="1:13" ht="13.25" customHeight="1" x14ac:dyDescent="0.25">
      <c r="A26" s="564" t="s">
        <v>720</v>
      </c>
      <c r="B26" s="555">
        <v>0</v>
      </c>
      <c r="C26" s="556"/>
      <c r="D26" s="555">
        <v>0</v>
      </c>
      <c r="E26" s="556">
        <v>0</v>
      </c>
      <c r="F26" s="555">
        <v>0</v>
      </c>
      <c r="G26" s="556">
        <v>0</v>
      </c>
      <c r="H26" s="555">
        <v>0</v>
      </c>
      <c r="I26" s="556"/>
      <c r="J26" s="555">
        <v>0</v>
      </c>
      <c r="K26" s="556">
        <v>0</v>
      </c>
      <c r="L26" s="558">
        <v>0</v>
      </c>
      <c r="M26" s="559">
        <v>276708</v>
      </c>
    </row>
    <row r="27" spans="1:13" x14ac:dyDescent="0.25">
      <c r="A27" s="560" t="s">
        <v>371</v>
      </c>
      <c r="B27" s="561">
        <f>B28+B29</f>
        <v>0</v>
      </c>
      <c r="C27" s="562">
        <v>0</v>
      </c>
      <c r="D27" s="561">
        <f>D28+D29</f>
        <v>1</v>
      </c>
      <c r="E27" s="562">
        <f>(D27*1000000)/$M27</f>
        <v>2.952665814330468</v>
      </c>
      <c r="F27" s="561">
        <f>F28+F29</f>
        <v>0</v>
      </c>
      <c r="G27" s="562">
        <f>(F27*1000000)/$M27</f>
        <v>0</v>
      </c>
      <c r="H27" s="561">
        <f>H28+H29</f>
        <v>0</v>
      </c>
      <c r="I27" s="562">
        <f>(H27*1000000)/$M27</f>
        <v>0</v>
      </c>
      <c r="J27" s="561">
        <f>J28+J29</f>
        <v>1</v>
      </c>
      <c r="K27" s="562">
        <f>(J27*1000000)/$M27</f>
        <v>2.952665814330468</v>
      </c>
      <c r="L27" s="562">
        <f>L28+L29</f>
        <v>0</v>
      </c>
      <c r="M27" s="563">
        <f>M28+M29</f>
        <v>338677</v>
      </c>
    </row>
    <row r="28" spans="1:13" x14ac:dyDescent="0.25">
      <c r="A28" s="567" t="s">
        <v>372</v>
      </c>
      <c r="B28" s="555">
        <v>0</v>
      </c>
      <c r="C28" s="556">
        <v>0</v>
      </c>
      <c r="D28" s="555">
        <v>1</v>
      </c>
      <c r="E28" s="556">
        <v>3.13</v>
      </c>
      <c r="F28" s="555">
        <v>0</v>
      </c>
      <c r="G28" s="556">
        <v>0</v>
      </c>
      <c r="H28" s="555">
        <v>0</v>
      </c>
      <c r="I28" s="556">
        <v>0</v>
      </c>
      <c r="J28" s="555">
        <v>1</v>
      </c>
      <c r="K28" s="556">
        <v>3.13</v>
      </c>
      <c r="L28" s="558">
        <v>0</v>
      </c>
      <c r="M28" s="559">
        <v>319648</v>
      </c>
    </row>
    <row r="29" spans="1:13" x14ac:dyDescent="0.25">
      <c r="A29" s="564" t="s">
        <v>719</v>
      </c>
      <c r="B29" s="555">
        <v>0</v>
      </c>
      <c r="C29" s="556">
        <v>0</v>
      </c>
      <c r="D29" s="555">
        <v>0</v>
      </c>
      <c r="E29" s="556"/>
      <c r="F29" s="555">
        <v>0</v>
      </c>
      <c r="G29" s="556"/>
      <c r="H29" s="555">
        <v>0</v>
      </c>
      <c r="I29" s="556">
        <v>0</v>
      </c>
      <c r="J29" s="555">
        <v>0</v>
      </c>
      <c r="K29" s="556">
        <v>0</v>
      </c>
      <c r="L29" s="558">
        <v>0</v>
      </c>
      <c r="M29" s="559">
        <v>19029</v>
      </c>
    </row>
    <row r="30" spans="1:13" x14ac:dyDescent="0.25">
      <c r="A30" s="560" t="s">
        <v>374</v>
      </c>
      <c r="B30" s="561">
        <f>B31</f>
        <v>0</v>
      </c>
      <c r="C30" s="562">
        <v>0</v>
      </c>
      <c r="D30" s="561">
        <f t="shared" ref="D30:M30" si="5">D31</f>
        <v>7</v>
      </c>
      <c r="E30" s="562">
        <f t="shared" si="5"/>
        <v>0.5</v>
      </c>
      <c r="F30" s="561">
        <f t="shared" si="5"/>
        <v>1</v>
      </c>
      <c r="G30" s="562">
        <f t="shared" si="5"/>
        <v>7.0000000000000007E-2</v>
      </c>
      <c r="H30" s="561">
        <f t="shared" si="5"/>
        <v>3</v>
      </c>
      <c r="I30" s="562">
        <f t="shared" si="5"/>
        <v>0.22</v>
      </c>
      <c r="J30" s="561">
        <f t="shared" si="5"/>
        <v>3</v>
      </c>
      <c r="K30" s="562">
        <f t="shared" si="5"/>
        <v>0.22</v>
      </c>
      <c r="L30" s="562">
        <f t="shared" si="5"/>
        <v>0</v>
      </c>
      <c r="M30" s="563">
        <f t="shared" si="5"/>
        <v>13908729.48</v>
      </c>
    </row>
    <row r="31" spans="1:13" x14ac:dyDescent="0.25">
      <c r="A31" s="567" t="s">
        <v>375</v>
      </c>
      <c r="B31" s="555">
        <v>0</v>
      </c>
      <c r="C31" s="556">
        <v>0</v>
      </c>
      <c r="D31" s="555">
        <v>7</v>
      </c>
      <c r="E31" s="556">
        <v>0.5</v>
      </c>
      <c r="F31" s="555">
        <v>1</v>
      </c>
      <c r="G31" s="556">
        <v>7.0000000000000007E-2</v>
      </c>
      <c r="H31" s="555">
        <v>3</v>
      </c>
      <c r="I31" s="556">
        <v>0.22</v>
      </c>
      <c r="J31" s="555">
        <v>3</v>
      </c>
      <c r="K31" s="556">
        <v>0.22</v>
      </c>
      <c r="L31" s="558">
        <v>0</v>
      </c>
      <c r="M31" s="559">
        <v>13908729.48</v>
      </c>
    </row>
    <row r="32" spans="1:13" x14ac:dyDescent="0.25">
      <c r="A32" s="560" t="s">
        <v>376</v>
      </c>
      <c r="B32" s="561">
        <f>B33+B34+B35</f>
        <v>0</v>
      </c>
      <c r="C32" s="562">
        <v>0</v>
      </c>
      <c r="D32" s="561">
        <f>D33+D34+D35</f>
        <v>4</v>
      </c>
      <c r="E32" s="562">
        <f>(D32*1000000)/$M32</f>
        <v>1.7614216081515068</v>
      </c>
      <c r="F32" s="561">
        <f>F33+F34+F35</f>
        <v>0</v>
      </c>
      <c r="G32" s="562">
        <f>(F32*1000000)/$M32</f>
        <v>0</v>
      </c>
      <c r="H32" s="561">
        <f>H33+H34+H35</f>
        <v>1</v>
      </c>
      <c r="I32" s="562">
        <f>(H32*1000000)/$M32</f>
        <v>0.44035540203787671</v>
      </c>
      <c r="J32" s="561">
        <f>J33+J34+J35</f>
        <v>3</v>
      </c>
      <c r="K32" s="562">
        <f>(J32*1000000)/$M32</f>
        <v>1.3210662061136302</v>
      </c>
      <c r="L32" s="562">
        <f>L33+L34+L35</f>
        <v>0</v>
      </c>
      <c r="M32" s="563">
        <f>M33+M34+M35</f>
        <v>2270893</v>
      </c>
    </row>
    <row r="33" spans="1:14" x14ac:dyDescent="0.25">
      <c r="A33" s="567" t="s">
        <v>377</v>
      </c>
      <c r="B33" s="555">
        <v>0</v>
      </c>
      <c r="C33" s="556">
        <v>0</v>
      </c>
      <c r="D33" s="555">
        <v>1</v>
      </c>
      <c r="E33" s="556">
        <v>1.53</v>
      </c>
      <c r="F33" s="555">
        <v>0</v>
      </c>
      <c r="G33" s="556">
        <v>0</v>
      </c>
      <c r="H33" s="555">
        <v>1</v>
      </c>
      <c r="I33" s="556">
        <v>1.53</v>
      </c>
      <c r="J33" s="555">
        <v>0</v>
      </c>
      <c r="K33" s="556">
        <v>0</v>
      </c>
      <c r="L33" s="558">
        <v>0</v>
      </c>
      <c r="M33" s="559">
        <v>653588</v>
      </c>
    </row>
    <row r="34" spans="1:14" x14ac:dyDescent="0.25">
      <c r="A34" s="567" t="s">
        <v>378</v>
      </c>
      <c r="B34" s="555">
        <v>0</v>
      </c>
      <c r="C34" s="556">
        <v>0</v>
      </c>
      <c r="D34" s="555">
        <v>3</v>
      </c>
      <c r="E34" s="556">
        <v>1.85</v>
      </c>
      <c r="F34" s="555">
        <v>0</v>
      </c>
      <c r="G34" s="556">
        <v>0</v>
      </c>
      <c r="H34" s="555">
        <v>0</v>
      </c>
      <c r="I34" s="556">
        <v>0</v>
      </c>
      <c r="J34" s="555">
        <v>3</v>
      </c>
      <c r="K34" s="556">
        <v>1.85</v>
      </c>
      <c r="L34" s="558">
        <v>0</v>
      </c>
      <c r="M34" s="559">
        <v>1617305</v>
      </c>
    </row>
    <row r="35" spans="1:14" hidden="1" x14ac:dyDescent="0.25">
      <c r="A35" s="564" t="s">
        <v>350</v>
      </c>
      <c r="B35" s="555">
        <v>0</v>
      </c>
      <c r="C35" s="556">
        <v>0</v>
      </c>
      <c r="D35" s="555">
        <v>0</v>
      </c>
      <c r="E35" s="556">
        <v>0</v>
      </c>
      <c r="F35" s="555">
        <v>0</v>
      </c>
      <c r="G35" s="556">
        <v>0</v>
      </c>
      <c r="H35" s="555">
        <v>0</v>
      </c>
      <c r="I35" s="556">
        <v>0</v>
      </c>
      <c r="J35" s="555">
        <v>0</v>
      </c>
      <c r="K35" s="556">
        <v>0</v>
      </c>
      <c r="L35" s="558">
        <v>0</v>
      </c>
      <c r="M35" s="559">
        <v>0</v>
      </c>
    </row>
    <row r="36" spans="1:14" x14ac:dyDescent="0.25">
      <c r="A36" s="560" t="s">
        <v>379</v>
      </c>
      <c r="B36" s="561">
        <f>B37</f>
        <v>0</v>
      </c>
      <c r="C36" s="562">
        <v>0</v>
      </c>
      <c r="D36" s="561">
        <f>D37</f>
        <v>2</v>
      </c>
      <c r="E36" s="562">
        <f>E37</f>
        <v>0.89</v>
      </c>
      <c r="F36" s="561">
        <f>F37</f>
        <v>0</v>
      </c>
      <c r="G36" s="562">
        <v>0</v>
      </c>
      <c r="H36" s="561">
        <f>H37</f>
        <v>2</v>
      </c>
      <c r="I36" s="562">
        <f>I37</f>
        <v>0.89</v>
      </c>
      <c r="J36" s="561">
        <f>J37</f>
        <v>0</v>
      </c>
      <c r="K36" s="562">
        <v>0</v>
      </c>
      <c r="L36" s="562">
        <f>L37</f>
        <v>0</v>
      </c>
      <c r="M36" s="563">
        <f>M37</f>
        <v>2258162</v>
      </c>
    </row>
    <row r="37" spans="1:14" x14ac:dyDescent="0.25">
      <c r="A37" s="567" t="s">
        <v>380</v>
      </c>
      <c r="B37" s="555">
        <v>0</v>
      </c>
      <c r="C37" s="556">
        <v>0</v>
      </c>
      <c r="D37" s="555">
        <v>2</v>
      </c>
      <c r="E37" s="556">
        <v>0.89</v>
      </c>
      <c r="F37" s="555">
        <v>0</v>
      </c>
      <c r="G37" s="556">
        <v>0</v>
      </c>
      <c r="H37" s="555">
        <v>2</v>
      </c>
      <c r="I37" s="556">
        <v>0.89</v>
      </c>
      <c r="J37" s="555">
        <v>0</v>
      </c>
      <c r="K37" s="556">
        <v>0</v>
      </c>
      <c r="L37" s="558">
        <v>0</v>
      </c>
      <c r="M37" s="559">
        <v>2258162</v>
      </c>
    </row>
    <row r="38" spans="1:14" s="548" customFormat="1" ht="13" x14ac:dyDescent="0.3">
      <c r="A38" s="568" t="s">
        <v>381</v>
      </c>
      <c r="B38" s="569">
        <f>B39+B41</f>
        <v>1</v>
      </c>
      <c r="C38" s="570">
        <f>(B38*1000000)/$M38</f>
        <v>5.2120389029710938E-2</v>
      </c>
      <c r="D38" s="569">
        <f>D39+D41</f>
        <v>72</v>
      </c>
      <c r="E38" s="570">
        <f>(D38*1000000)/$M38</f>
        <v>3.7526680101391876</v>
      </c>
      <c r="F38" s="571">
        <f>F39+F41</f>
        <v>26</v>
      </c>
      <c r="G38" s="570">
        <f>(F38*1000000)/$M38</f>
        <v>1.3551301147724846</v>
      </c>
      <c r="H38" s="571">
        <f>H39+H41</f>
        <v>15</v>
      </c>
      <c r="I38" s="570">
        <f>(H38*1000000)/$M38</f>
        <v>0.78180583544566407</v>
      </c>
      <c r="J38" s="571">
        <f>J39+J41</f>
        <v>30</v>
      </c>
      <c r="K38" s="570">
        <f>(J38*1000000)/$M38</f>
        <v>1.5636116708913281</v>
      </c>
      <c r="L38" s="570">
        <f>L39+L41</f>
        <v>0</v>
      </c>
      <c r="M38" s="571">
        <f>M39+M41</f>
        <v>19186349.5</v>
      </c>
      <c r="N38" s="549"/>
    </row>
    <row r="39" spans="1:14" x14ac:dyDescent="0.25">
      <c r="A39" s="560" t="s">
        <v>382</v>
      </c>
      <c r="B39" s="561">
        <f>B40</f>
        <v>1</v>
      </c>
      <c r="C39" s="562">
        <f>C40</f>
        <v>0.57999999999999996</v>
      </c>
      <c r="D39" s="561">
        <f>D40</f>
        <v>14</v>
      </c>
      <c r="E39" s="562">
        <f>E40</f>
        <v>8.1746144355516321</v>
      </c>
      <c r="F39" s="561">
        <f>F40</f>
        <v>0</v>
      </c>
      <c r="G39" s="562">
        <v>0</v>
      </c>
      <c r="H39" s="561">
        <f t="shared" ref="H39:M39" si="6">H40</f>
        <v>4</v>
      </c>
      <c r="I39" s="562">
        <f t="shared" si="6"/>
        <v>2.34</v>
      </c>
      <c r="J39" s="561">
        <f t="shared" si="6"/>
        <v>9</v>
      </c>
      <c r="K39" s="562">
        <f t="shared" si="6"/>
        <v>5.26</v>
      </c>
      <c r="L39" s="562">
        <f t="shared" si="6"/>
        <v>0</v>
      </c>
      <c r="M39" s="563">
        <f t="shared" si="6"/>
        <v>1712619</v>
      </c>
    </row>
    <row r="40" spans="1:14" x14ac:dyDescent="0.25">
      <c r="A40" s="567" t="s">
        <v>383</v>
      </c>
      <c r="B40" s="555">
        <v>1</v>
      </c>
      <c r="C40" s="556">
        <v>0.57999999999999996</v>
      </c>
      <c r="D40" s="555">
        <v>14</v>
      </c>
      <c r="E40" s="556">
        <f>(D40*1000000)/$M40</f>
        <v>8.1746144355516321</v>
      </c>
      <c r="F40" s="555">
        <v>0</v>
      </c>
      <c r="G40" s="556">
        <v>0</v>
      </c>
      <c r="H40" s="555">
        <v>4</v>
      </c>
      <c r="I40" s="556">
        <v>2.34</v>
      </c>
      <c r="J40" s="555">
        <v>9</v>
      </c>
      <c r="K40" s="556">
        <v>5.26</v>
      </c>
      <c r="L40" s="558">
        <v>0</v>
      </c>
      <c r="M40" s="559">
        <v>1712619</v>
      </c>
    </row>
    <row r="41" spans="1:14" x14ac:dyDescent="0.25">
      <c r="A41" s="560" t="s">
        <v>384</v>
      </c>
      <c r="B41" s="561">
        <f>B43+B44+B45</f>
        <v>0</v>
      </c>
      <c r="C41" s="562">
        <v>0</v>
      </c>
      <c r="D41" s="561">
        <f>D43+D44+D45</f>
        <v>58</v>
      </c>
      <c r="E41" s="562">
        <f>(D41*1000000)/$M41</f>
        <v>3.3192683153720379</v>
      </c>
      <c r="F41" s="561">
        <f>F43+F44+F45</f>
        <v>26</v>
      </c>
      <c r="G41" s="562">
        <f>(F41*1000000)/$M41</f>
        <v>1.4879478655116032</v>
      </c>
      <c r="H41" s="561">
        <f>H43+H44+H45</f>
        <v>11</v>
      </c>
      <c r="I41" s="562">
        <f>(H41*1000000)/$M41</f>
        <v>0.62951640463952441</v>
      </c>
      <c r="J41" s="561">
        <f>J43+J44+J45</f>
        <v>21</v>
      </c>
      <c r="K41" s="562">
        <f>(J41*1000000)/$M41</f>
        <v>1.2018040452209102</v>
      </c>
      <c r="L41" s="562">
        <f>L43+L44+L45</f>
        <v>0</v>
      </c>
      <c r="M41" s="563">
        <f>M43+M44+M45</f>
        <v>17473730.5</v>
      </c>
    </row>
    <row r="42" spans="1:14" hidden="1" x14ac:dyDescent="0.25">
      <c r="A42" s="576" t="s">
        <v>385</v>
      </c>
      <c r="B42" s="555">
        <v>0</v>
      </c>
      <c r="C42" s="556" t="e">
        <v>#DIV/0!</v>
      </c>
      <c r="D42" s="555">
        <v>0</v>
      </c>
      <c r="E42" s="556" t="e">
        <v>#DIV/0!</v>
      </c>
      <c r="F42" s="555">
        <v>0</v>
      </c>
      <c r="G42" s="556" t="e">
        <v>#DIV/0!</v>
      </c>
      <c r="H42" s="555">
        <v>0</v>
      </c>
      <c r="I42" s="556" t="e">
        <v>#DIV/0!</v>
      </c>
      <c r="J42" s="555">
        <v>0</v>
      </c>
      <c r="K42" s="556" t="e">
        <v>#DIV/0!</v>
      </c>
      <c r="L42" s="558">
        <v>0</v>
      </c>
      <c r="M42" s="559">
        <v>0</v>
      </c>
    </row>
    <row r="43" spans="1:14" x14ac:dyDescent="0.25">
      <c r="A43" s="564" t="s">
        <v>350</v>
      </c>
      <c r="B43" s="555">
        <v>0</v>
      </c>
      <c r="C43" s="556">
        <v>0</v>
      </c>
      <c r="D43" s="555">
        <v>1</v>
      </c>
      <c r="E43" s="556">
        <v>3.61</v>
      </c>
      <c r="F43" s="555">
        <v>0</v>
      </c>
      <c r="G43" s="556">
        <v>0</v>
      </c>
      <c r="H43" s="555">
        <v>0</v>
      </c>
      <c r="I43" s="556">
        <v>0</v>
      </c>
      <c r="J43" s="555">
        <v>1</v>
      </c>
      <c r="K43" s="556">
        <v>3.61</v>
      </c>
      <c r="L43" s="558">
        <v>0</v>
      </c>
      <c r="M43" s="559">
        <v>276920</v>
      </c>
    </row>
    <row r="44" spans="1:14" x14ac:dyDescent="0.25">
      <c r="A44" s="564" t="s">
        <v>373</v>
      </c>
      <c r="B44" s="555">
        <v>0</v>
      </c>
      <c r="C44" s="556">
        <v>0</v>
      </c>
      <c r="D44" s="555">
        <v>2</v>
      </c>
      <c r="E44" s="556">
        <v>7.03</v>
      </c>
      <c r="F44" s="555">
        <v>0</v>
      </c>
      <c r="G44" s="556">
        <v>0</v>
      </c>
      <c r="H44" s="555">
        <v>0</v>
      </c>
      <c r="I44" s="556">
        <v>0</v>
      </c>
      <c r="J44" s="555">
        <v>2</v>
      </c>
      <c r="K44" s="556">
        <v>7.03</v>
      </c>
      <c r="L44" s="558"/>
      <c r="M44" s="559">
        <v>284531</v>
      </c>
    </row>
    <row r="45" spans="1:14" x14ac:dyDescent="0.25">
      <c r="A45" s="577" t="s">
        <v>386</v>
      </c>
      <c r="B45" s="561">
        <f>B46+B47+B48+B50+B51+B49+B52</f>
        <v>0</v>
      </c>
      <c r="C45" s="562">
        <v>0</v>
      </c>
      <c r="D45" s="561">
        <f>D46+D47+D48+D50+D51+D49+D52</f>
        <v>55</v>
      </c>
      <c r="E45" s="562">
        <f>(D45*1000000)/$M45</f>
        <v>3.2520749198829169</v>
      </c>
      <c r="F45" s="561">
        <f>F46+F47+F48+F50+F51+F49+F52</f>
        <v>26</v>
      </c>
      <c r="G45" s="562">
        <f>(F45*1000000)/$M45</f>
        <v>1.5373445075810153</v>
      </c>
      <c r="H45" s="561">
        <f>H46+H47+H48+H50+H51+H49+H52</f>
        <v>11</v>
      </c>
      <c r="I45" s="562">
        <f>(H45*1000000)/$M45</f>
        <v>0.65041498397658337</v>
      </c>
      <c r="J45" s="561">
        <f>J46+J47+J48+J50+J51+J49+J52</f>
        <v>18</v>
      </c>
      <c r="K45" s="562">
        <f>(J45*1000000)/$M45</f>
        <v>1.0643154283253182</v>
      </c>
      <c r="L45" s="562">
        <f>L46+L47+L48+L50+L51+L49+L52</f>
        <v>0</v>
      </c>
      <c r="M45" s="563">
        <f>M46+M47+M48+M50+M51+M49+M52</f>
        <v>16912279.5</v>
      </c>
    </row>
    <row r="46" spans="1:14" x14ac:dyDescent="0.25">
      <c r="A46" s="578" t="s">
        <v>574</v>
      </c>
      <c r="B46" s="555">
        <v>0</v>
      </c>
      <c r="C46" s="556">
        <v>0</v>
      </c>
      <c r="D46" s="579">
        <v>26</v>
      </c>
      <c r="E46" s="556">
        <v>3.08</v>
      </c>
      <c r="F46" s="555">
        <v>10</v>
      </c>
      <c r="G46" s="556">
        <v>1.19</v>
      </c>
      <c r="H46" s="555">
        <v>7</v>
      </c>
      <c r="I46" s="556">
        <v>0.83</v>
      </c>
      <c r="J46" s="555">
        <v>9</v>
      </c>
      <c r="K46" s="556">
        <v>1.07</v>
      </c>
      <c r="L46" s="558">
        <v>0</v>
      </c>
      <c r="M46" s="559">
        <v>8433662</v>
      </c>
    </row>
    <row r="47" spans="1:14" x14ac:dyDescent="0.25">
      <c r="A47" s="578" t="s">
        <v>389</v>
      </c>
      <c r="B47" s="555">
        <v>0</v>
      </c>
      <c r="C47" s="556">
        <v>0</v>
      </c>
      <c r="D47" s="579">
        <v>11</v>
      </c>
      <c r="E47" s="556">
        <v>2.85</v>
      </c>
      <c r="F47" s="555">
        <v>7</v>
      </c>
      <c r="G47" s="556">
        <v>1.81</v>
      </c>
      <c r="H47" s="555">
        <v>1</v>
      </c>
      <c r="I47" s="556">
        <v>0.26</v>
      </c>
      <c r="J47" s="555">
        <v>3</v>
      </c>
      <c r="K47" s="556">
        <v>0.78</v>
      </c>
      <c r="L47" s="558">
        <v>0</v>
      </c>
      <c r="M47" s="559">
        <v>3864133</v>
      </c>
    </row>
    <row r="48" spans="1:14" x14ac:dyDescent="0.25">
      <c r="A48" s="578" t="s">
        <v>391</v>
      </c>
      <c r="B48" s="555">
        <v>0</v>
      </c>
      <c r="C48" s="556">
        <v>0</v>
      </c>
      <c r="D48" s="579">
        <v>1</v>
      </c>
      <c r="E48" s="556">
        <v>2.34</v>
      </c>
      <c r="F48" s="555">
        <v>0</v>
      </c>
      <c r="G48" s="556">
        <v>0</v>
      </c>
      <c r="H48" s="555">
        <v>0</v>
      </c>
      <c r="I48" s="556">
        <v>0</v>
      </c>
      <c r="J48" s="555">
        <v>1</v>
      </c>
      <c r="K48" s="556">
        <v>2.34</v>
      </c>
      <c r="L48" s="558">
        <v>0</v>
      </c>
      <c r="M48" s="559">
        <v>428098</v>
      </c>
    </row>
    <row r="49" spans="1:13" x14ac:dyDescent="0.25">
      <c r="A49" s="578" t="s">
        <v>392</v>
      </c>
      <c r="B49" s="555">
        <v>0</v>
      </c>
      <c r="C49" s="556">
        <v>0</v>
      </c>
      <c r="D49" s="579">
        <v>3</v>
      </c>
      <c r="E49" s="556">
        <v>2.62</v>
      </c>
      <c r="F49" s="555">
        <v>1</v>
      </c>
      <c r="G49" s="556">
        <v>0.87</v>
      </c>
      <c r="H49" s="555">
        <v>1</v>
      </c>
      <c r="I49" s="556">
        <v>0.87</v>
      </c>
      <c r="J49" s="555">
        <v>1</v>
      </c>
      <c r="K49" s="556">
        <v>0.87</v>
      </c>
      <c r="L49" s="558">
        <v>0</v>
      </c>
      <c r="M49" s="559">
        <v>1143179</v>
      </c>
    </row>
    <row r="50" spans="1:13" hidden="1" x14ac:dyDescent="0.25">
      <c r="A50" s="578" t="s">
        <v>718</v>
      </c>
      <c r="B50" s="555">
        <v>0</v>
      </c>
      <c r="C50" s="556">
        <v>0</v>
      </c>
      <c r="D50" s="579">
        <v>0</v>
      </c>
      <c r="E50" s="556">
        <v>0</v>
      </c>
      <c r="F50" s="555">
        <v>0</v>
      </c>
      <c r="G50" s="556">
        <v>0</v>
      </c>
      <c r="H50" s="555">
        <v>0</v>
      </c>
      <c r="I50" s="556">
        <v>0</v>
      </c>
      <c r="J50" s="555">
        <v>0</v>
      </c>
      <c r="K50" s="556">
        <v>0</v>
      </c>
      <c r="L50" s="558">
        <v>0</v>
      </c>
      <c r="M50" s="559">
        <v>0</v>
      </c>
    </row>
    <row r="51" spans="1:13" x14ac:dyDescent="0.25">
      <c r="A51" s="578" t="s">
        <v>717</v>
      </c>
      <c r="B51" s="555">
        <v>0</v>
      </c>
      <c r="C51" s="556">
        <v>0</v>
      </c>
      <c r="D51" s="579">
        <v>13</v>
      </c>
      <c r="E51" s="556">
        <v>4.63</v>
      </c>
      <c r="F51" s="555">
        <v>8</v>
      </c>
      <c r="G51" s="556">
        <v>2.85</v>
      </c>
      <c r="H51" s="555">
        <v>1</v>
      </c>
      <c r="I51" s="556">
        <v>0.36</v>
      </c>
      <c r="J51" s="555">
        <v>4</v>
      </c>
      <c r="K51" s="556">
        <v>1.43</v>
      </c>
      <c r="L51" s="558">
        <v>0</v>
      </c>
      <c r="M51" s="559">
        <v>2806040</v>
      </c>
    </row>
    <row r="52" spans="1:13" x14ac:dyDescent="0.25">
      <c r="A52" s="564" t="s">
        <v>716</v>
      </c>
      <c r="B52" s="555">
        <v>0</v>
      </c>
      <c r="C52" s="556">
        <v>0</v>
      </c>
      <c r="D52" s="579">
        <v>1</v>
      </c>
      <c r="E52" s="556">
        <f>(D52*1000000)/$M52</f>
        <v>4.2164293168330396</v>
      </c>
      <c r="F52" s="555">
        <v>0</v>
      </c>
      <c r="G52" s="556">
        <v>0</v>
      </c>
      <c r="H52" s="555">
        <v>1</v>
      </c>
      <c r="I52" s="556">
        <f>(H52*1000000)/$M52</f>
        <v>4.2164293168330396</v>
      </c>
      <c r="J52" s="555">
        <v>0</v>
      </c>
      <c r="K52" s="556">
        <v>0</v>
      </c>
      <c r="L52" s="558">
        <v>0</v>
      </c>
      <c r="M52" s="559">
        <f>41275+195892.5</f>
        <v>237167.5</v>
      </c>
    </row>
  </sheetData>
  <sheetProtection sheet="1" selectLockedCells="1" selectUnlockedCells="1"/>
  <mergeCells count="1">
    <mergeCell ref="B1:P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447EE-C613-434A-A13B-2726EB972316}">
  <sheetPr>
    <tabColor rgb="FF92D050"/>
  </sheetPr>
  <dimension ref="A1:CD64"/>
  <sheetViews>
    <sheetView showGridLines="0" zoomScale="90" zoomScaleNormal="90" workbookViewId="0">
      <pane xSplit="1" ySplit="3" topLeftCell="B5" activePane="bottomRight" state="frozen"/>
      <selection pane="topRight" activeCell="H1" sqref="H1:O1"/>
      <selection pane="bottomLeft" activeCell="H1" sqref="H1:O1"/>
      <selection pane="bottomRight" activeCell="J3" sqref="J1:K1048576"/>
    </sheetView>
  </sheetViews>
  <sheetFormatPr defaultColWidth="9.54296875" defaultRowHeight="14.25" customHeight="1" x14ac:dyDescent="0.35"/>
  <cols>
    <col min="1" max="1" width="38.1796875" customWidth="1"/>
    <col min="2" max="9" width="20.54296875" customWidth="1"/>
    <col min="10" max="11" width="20.54296875" hidden="1" customWidth="1"/>
    <col min="12" max="20" width="20.54296875" customWidth="1"/>
    <col min="21" max="22" width="20.54296875" hidden="1" customWidth="1"/>
    <col min="23" max="33" width="20.54296875" customWidth="1"/>
    <col min="34" max="35" width="20.54296875" hidden="1" customWidth="1"/>
    <col min="36" max="36" width="20.54296875" style="7" customWidth="1"/>
    <col min="37" max="43" width="20.54296875" customWidth="1"/>
    <col min="44" max="44" width="20.54296875" style="5" customWidth="1"/>
    <col min="45" max="53" width="20.54296875" customWidth="1"/>
    <col min="54" max="55" width="20.54296875" hidden="1" customWidth="1"/>
    <col min="56" max="56" width="20.54296875" customWidth="1"/>
    <col min="57" max="58" width="25.54296875" customWidth="1"/>
    <col min="59" max="62" width="20.54296875" customWidth="1"/>
    <col min="63" max="63" width="20.54296875" customWidth="1" collapsed="1"/>
    <col min="64" max="66" width="20.54296875" customWidth="1"/>
    <col min="67" max="67" width="30.54296875" style="1" customWidth="1"/>
    <col min="68" max="68" width="55.1796875" style="1" customWidth="1"/>
    <col min="69" max="69" width="26" style="1" customWidth="1"/>
    <col min="70" max="70" width="20.54296875" style="1" customWidth="1"/>
    <col min="71" max="71" width="22.54296875" style="1" customWidth="1"/>
    <col min="72" max="72" width="19" style="1" customWidth="1"/>
    <col min="73" max="73" width="27.81640625" style="1" customWidth="1"/>
    <col min="74" max="74" width="19.1796875" style="1" customWidth="1"/>
    <col min="75" max="77" width="11.453125" style="1" customWidth="1"/>
    <col min="78" max="78" width="17" style="1" customWidth="1"/>
    <col min="79" max="79" width="12.1796875" style="1" customWidth="1"/>
    <col min="80" max="80" width="30" style="1" customWidth="1"/>
    <col min="81" max="82" width="11.453125" style="1" customWidth="1"/>
  </cols>
  <sheetData>
    <row r="1" spans="1:82" s="176" customFormat="1" ht="15" thickBot="1" x14ac:dyDescent="0.4">
      <c r="A1" s="324"/>
      <c r="B1" s="945" t="s">
        <v>397</v>
      </c>
      <c r="C1" s="946"/>
      <c r="D1" s="946"/>
      <c r="E1" s="946"/>
      <c r="F1" s="946"/>
      <c r="G1" s="946"/>
      <c r="H1" s="946"/>
      <c r="I1" s="946"/>
      <c r="J1" s="946"/>
      <c r="K1" s="946"/>
      <c r="L1" s="946"/>
      <c r="M1" s="946"/>
      <c r="N1" s="946"/>
      <c r="O1" s="946"/>
      <c r="P1" s="946"/>
      <c r="Q1" s="946"/>
      <c r="R1" s="946"/>
      <c r="S1" s="946"/>
      <c r="T1" s="946"/>
      <c r="U1" s="946"/>
      <c r="V1" s="946"/>
      <c r="W1" s="946"/>
      <c r="X1" s="959"/>
      <c r="Y1" s="935" t="s">
        <v>398</v>
      </c>
      <c r="Z1" s="957" t="s">
        <v>399</v>
      </c>
      <c r="AA1" s="945" t="s">
        <v>400</v>
      </c>
      <c r="AB1" s="946"/>
      <c r="AC1" s="946"/>
      <c r="AD1" s="946"/>
      <c r="AE1" s="946"/>
      <c r="AF1" s="946"/>
      <c r="AG1" s="946"/>
      <c r="AH1" s="946"/>
      <c r="AI1" s="946"/>
      <c r="AJ1" s="946"/>
      <c r="AK1" s="947"/>
      <c r="AL1" s="947"/>
      <c r="AM1" s="947"/>
      <c r="AN1" s="947"/>
      <c r="AO1" s="947"/>
      <c r="AP1" s="947"/>
      <c r="AQ1" s="947"/>
      <c r="AR1" s="947"/>
      <c r="AS1" s="947"/>
      <c r="AT1" s="941" t="s">
        <v>401</v>
      </c>
      <c r="AU1" s="942"/>
      <c r="AV1" s="942"/>
      <c r="AW1" s="942"/>
      <c r="AX1" s="942"/>
      <c r="AY1" s="942"/>
      <c r="AZ1" s="942"/>
      <c r="BA1" s="942"/>
      <c r="BB1" s="943"/>
      <c r="BC1" s="943"/>
      <c r="BD1" s="944"/>
      <c r="BE1" s="931" t="s">
        <v>402</v>
      </c>
      <c r="BF1" s="935" t="s">
        <v>403</v>
      </c>
      <c r="BG1" s="920" t="s">
        <v>404</v>
      </c>
      <c r="BH1" s="923" t="s">
        <v>405</v>
      </c>
      <c r="BI1" s="923" t="s">
        <v>406</v>
      </c>
      <c r="BJ1" s="923" t="s">
        <v>407</v>
      </c>
      <c r="BK1" s="926" t="s">
        <v>408</v>
      </c>
      <c r="BL1" s="929" t="s">
        <v>409</v>
      </c>
      <c r="BM1" s="906" t="s">
        <v>410</v>
      </c>
      <c r="BN1" s="908" t="s">
        <v>411</v>
      </c>
      <c r="BO1" s="915" t="s">
        <v>412</v>
      </c>
      <c r="BP1" s="916"/>
      <c r="BQ1" s="916"/>
      <c r="BR1" s="916"/>
      <c r="BS1" s="916"/>
      <c r="BT1" s="916"/>
      <c r="BU1" s="916"/>
      <c r="BV1" s="916"/>
      <c r="BW1" s="916"/>
      <c r="BX1" s="916"/>
      <c r="BY1" s="916"/>
      <c r="BZ1" s="916"/>
      <c r="CA1" s="916"/>
      <c r="CB1" s="917"/>
      <c r="CC1" s="177"/>
      <c r="CD1" s="177"/>
    </row>
    <row r="2" spans="1:82" s="176" customFormat="1" ht="15" thickBot="1" x14ac:dyDescent="0.4">
      <c r="A2" s="349"/>
      <c r="B2" s="960" t="s">
        <v>413</v>
      </c>
      <c r="C2" s="961"/>
      <c r="D2" s="961"/>
      <c r="E2" s="961"/>
      <c r="F2" s="961"/>
      <c r="G2" s="961"/>
      <c r="H2" s="961"/>
      <c r="I2" s="962"/>
      <c r="J2" s="910" t="s">
        <v>414</v>
      </c>
      <c r="K2" s="911"/>
      <c r="L2" s="963" t="s">
        <v>415</v>
      </c>
      <c r="M2" s="960" t="s">
        <v>416</v>
      </c>
      <c r="N2" s="961"/>
      <c r="O2" s="961"/>
      <c r="P2" s="961"/>
      <c r="Q2" s="961"/>
      <c r="R2" s="961"/>
      <c r="S2" s="961"/>
      <c r="T2" s="961"/>
      <c r="U2" s="910" t="s">
        <v>414</v>
      </c>
      <c r="V2" s="911"/>
      <c r="W2" s="965" t="s">
        <v>417</v>
      </c>
      <c r="X2" s="967" t="s">
        <v>418</v>
      </c>
      <c r="Y2" s="936"/>
      <c r="Z2" s="958"/>
      <c r="AA2" s="949" t="s">
        <v>413</v>
      </c>
      <c r="AB2" s="950"/>
      <c r="AC2" s="950"/>
      <c r="AD2" s="950"/>
      <c r="AE2" s="950"/>
      <c r="AF2" s="950"/>
      <c r="AG2" s="951"/>
      <c r="AH2" s="910" t="s">
        <v>414</v>
      </c>
      <c r="AI2" s="911"/>
      <c r="AJ2" s="955" t="s">
        <v>415</v>
      </c>
      <c r="AK2" s="949" t="s">
        <v>416</v>
      </c>
      <c r="AL2" s="950"/>
      <c r="AM2" s="950"/>
      <c r="AN2" s="950"/>
      <c r="AO2" s="950"/>
      <c r="AP2" s="950"/>
      <c r="AQ2" s="951"/>
      <c r="AR2" s="953" t="s">
        <v>417</v>
      </c>
      <c r="AS2" s="933" t="s">
        <v>419</v>
      </c>
      <c r="AT2" s="952" t="s">
        <v>413</v>
      </c>
      <c r="AU2" s="948"/>
      <c r="AV2" s="948"/>
      <c r="AW2" s="937" t="s">
        <v>420</v>
      </c>
      <c r="AX2" s="948" t="s">
        <v>416</v>
      </c>
      <c r="AY2" s="948"/>
      <c r="AZ2" s="948"/>
      <c r="BA2" s="937" t="s">
        <v>421</v>
      </c>
      <c r="BB2" s="910" t="s">
        <v>414</v>
      </c>
      <c r="BC2" s="911"/>
      <c r="BD2" s="939" t="s">
        <v>401</v>
      </c>
      <c r="BE2" s="932"/>
      <c r="BF2" s="936"/>
      <c r="BG2" s="921"/>
      <c r="BH2" s="924"/>
      <c r="BI2" s="924"/>
      <c r="BJ2" s="924"/>
      <c r="BK2" s="927"/>
      <c r="BL2" s="929"/>
      <c r="BM2" s="906"/>
      <c r="BN2" s="908"/>
      <c r="BO2" s="919" t="s">
        <v>422</v>
      </c>
      <c r="BP2" s="913"/>
      <c r="BQ2" s="913"/>
      <c r="BR2" s="913"/>
      <c r="BS2" s="914"/>
      <c r="BT2" s="912" t="s">
        <v>423</v>
      </c>
      <c r="BU2" s="913"/>
      <c r="BV2" s="914"/>
      <c r="BW2" s="912" t="s">
        <v>424</v>
      </c>
      <c r="BX2" s="913"/>
      <c r="BY2" s="913"/>
      <c r="BZ2" s="914"/>
      <c r="CA2" s="912" t="s">
        <v>425</v>
      </c>
      <c r="CB2" s="918"/>
      <c r="CC2" s="177"/>
      <c r="CD2" s="177"/>
    </row>
    <row r="3" spans="1:82" s="173" customFormat="1" ht="44" thickBot="1" x14ac:dyDescent="0.4">
      <c r="A3" s="315" t="s">
        <v>426</v>
      </c>
      <c r="B3" s="350" t="s">
        <v>427</v>
      </c>
      <c r="C3" s="351" t="s">
        <v>428</v>
      </c>
      <c r="D3" s="351" t="s">
        <v>429</v>
      </c>
      <c r="E3" s="351" t="s">
        <v>430</v>
      </c>
      <c r="F3" s="351" t="s">
        <v>431</v>
      </c>
      <c r="G3" s="351" t="s">
        <v>432</v>
      </c>
      <c r="H3" s="351" t="s">
        <v>433</v>
      </c>
      <c r="I3" s="351" t="s">
        <v>434</v>
      </c>
      <c r="J3" s="356" t="s">
        <v>435</v>
      </c>
      <c r="K3" s="356" t="s">
        <v>436</v>
      </c>
      <c r="L3" s="964"/>
      <c r="M3" s="350" t="s">
        <v>428</v>
      </c>
      <c r="N3" s="351" t="s">
        <v>429</v>
      </c>
      <c r="O3" s="351" t="s">
        <v>430</v>
      </c>
      <c r="P3" s="351" t="s">
        <v>437</v>
      </c>
      <c r="Q3" s="351" t="s">
        <v>432</v>
      </c>
      <c r="R3" s="351" t="s">
        <v>438</v>
      </c>
      <c r="S3" s="351" t="s">
        <v>433</v>
      </c>
      <c r="T3" s="351" t="s">
        <v>434</v>
      </c>
      <c r="U3" s="356" t="s">
        <v>435</v>
      </c>
      <c r="V3" s="356" t="s">
        <v>436</v>
      </c>
      <c r="W3" s="966"/>
      <c r="X3" s="968"/>
      <c r="Y3" s="936"/>
      <c r="Z3" s="958"/>
      <c r="AA3" s="350" t="s">
        <v>439</v>
      </c>
      <c r="AB3" s="351" t="s">
        <v>440</v>
      </c>
      <c r="AC3" s="351" t="s">
        <v>441</v>
      </c>
      <c r="AD3" s="351" t="s">
        <v>442</v>
      </c>
      <c r="AE3" s="351" t="s">
        <v>443</v>
      </c>
      <c r="AF3" s="351" t="s">
        <v>444</v>
      </c>
      <c r="AG3" s="351" t="s">
        <v>445</v>
      </c>
      <c r="AH3" s="356" t="s">
        <v>435</v>
      </c>
      <c r="AI3" s="356" t="s">
        <v>436</v>
      </c>
      <c r="AJ3" s="956"/>
      <c r="AK3" s="352" t="s">
        <v>439</v>
      </c>
      <c r="AL3" s="353" t="s">
        <v>440</v>
      </c>
      <c r="AM3" s="353" t="s">
        <v>441</v>
      </c>
      <c r="AN3" s="353" t="s">
        <v>442</v>
      </c>
      <c r="AO3" s="353" t="s">
        <v>443</v>
      </c>
      <c r="AP3" s="353" t="s">
        <v>444</v>
      </c>
      <c r="AQ3" s="353" t="s">
        <v>445</v>
      </c>
      <c r="AR3" s="954"/>
      <c r="AS3" s="934"/>
      <c r="AT3" s="354" t="s">
        <v>446</v>
      </c>
      <c r="AU3" s="355" t="s">
        <v>432</v>
      </c>
      <c r="AV3" s="355" t="s">
        <v>370</v>
      </c>
      <c r="AW3" s="938"/>
      <c r="AX3" s="355" t="s">
        <v>446</v>
      </c>
      <c r="AY3" s="355" t="s">
        <v>432</v>
      </c>
      <c r="AZ3" s="355" t="s">
        <v>370</v>
      </c>
      <c r="BA3" s="938"/>
      <c r="BB3" s="356" t="s">
        <v>435</v>
      </c>
      <c r="BC3" s="356" t="s">
        <v>436</v>
      </c>
      <c r="BD3" s="940"/>
      <c r="BE3" s="932"/>
      <c r="BF3" s="936"/>
      <c r="BG3" s="922"/>
      <c r="BH3" s="925"/>
      <c r="BI3" s="925"/>
      <c r="BJ3" s="925"/>
      <c r="BK3" s="928"/>
      <c r="BL3" s="930"/>
      <c r="BM3" s="907"/>
      <c r="BN3" s="909"/>
      <c r="BO3" s="246" t="s">
        <v>447</v>
      </c>
      <c r="BP3" s="177" t="s">
        <v>448</v>
      </c>
      <c r="BQ3" s="177" t="s">
        <v>449</v>
      </c>
      <c r="BR3" s="177"/>
      <c r="BS3" s="247"/>
      <c r="BT3" s="248" t="s">
        <v>450</v>
      </c>
      <c r="BU3" s="177" t="s">
        <v>451</v>
      </c>
      <c r="BV3" s="247" t="s">
        <v>452</v>
      </c>
      <c r="BW3" s="248" t="s">
        <v>453</v>
      </c>
      <c r="BX3" s="177" t="s">
        <v>454</v>
      </c>
      <c r="BY3" s="177" t="s">
        <v>451</v>
      </c>
      <c r="BZ3" s="247" t="s">
        <v>452</v>
      </c>
      <c r="CA3" s="248" t="s">
        <v>455</v>
      </c>
      <c r="CB3" s="249" t="s">
        <v>451</v>
      </c>
    </row>
    <row r="4" spans="1:82" ht="14.25" customHeight="1" x14ac:dyDescent="0.35">
      <c r="A4" s="296" t="s">
        <v>348</v>
      </c>
      <c r="B4" s="357">
        <f t="shared" ref="B4:I4" si="0">B7+B23+B33</f>
        <v>51001440.1413</v>
      </c>
      <c r="C4" s="358">
        <f t="shared" si="0"/>
        <v>15369615.552800003</v>
      </c>
      <c r="D4" s="358">
        <f t="shared" si="0"/>
        <v>22077714</v>
      </c>
      <c r="E4" s="358">
        <f>E7+E23+E33</f>
        <v>21315348.305900004</v>
      </c>
      <c r="F4" s="358">
        <f t="shared" si="0"/>
        <v>22721668</v>
      </c>
      <c r="G4" s="358">
        <f t="shared" si="0"/>
        <v>2797387</v>
      </c>
      <c r="H4" s="358">
        <f t="shared" si="0"/>
        <v>104646</v>
      </c>
      <c r="I4" s="358">
        <f t="shared" si="0"/>
        <v>7238</v>
      </c>
      <c r="J4" s="359">
        <f>SUM(B4:I4)</f>
        <v>135395057</v>
      </c>
      <c r="K4" s="362" t="str">
        <f>IF(ROUND(J4,0)=ROUND(L4,0),"MATCH","FIX NEEDED")</f>
        <v>MATCH</v>
      </c>
      <c r="L4" s="359">
        <f>L7+L23+L33</f>
        <v>135395056.84999999</v>
      </c>
      <c r="M4" s="360">
        <f t="shared" ref="M4:T4" si="1">M7+M23+M33</f>
        <v>28706788.596499998</v>
      </c>
      <c r="N4" s="295">
        <f t="shared" si="1"/>
        <v>3433937</v>
      </c>
      <c r="O4" s="295">
        <f t="shared" si="1"/>
        <v>3098346</v>
      </c>
      <c r="P4" s="295">
        <f t="shared" si="1"/>
        <v>85560</v>
      </c>
      <c r="Q4" s="295">
        <f t="shared" si="1"/>
        <v>1961.7435000000041</v>
      </c>
      <c r="R4" s="295">
        <f t="shared" si="1"/>
        <v>0</v>
      </c>
      <c r="S4" s="295">
        <f t="shared" si="1"/>
        <v>1170048</v>
      </c>
      <c r="T4" s="295">
        <f t="shared" si="1"/>
        <v>0</v>
      </c>
      <c r="U4" s="359">
        <f>SUM(M4:T4)</f>
        <v>36496641.339999996</v>
      </c>
      <c r="V4" s="359" t="str">
        <f>IF(ROUND(U4,0)=ROUND(W4,0),"MATCH","FIX NEEDED")</f>
        <v>MATCH</v>
      </c>
      <c r="W4" s="368">
        <f t="shared" ref="W4:AG4" si="2">W7+W23+W33</f>
        <v>36496641.339999996</v>
      </c>
      <c r="X4" s="368">
        <f t="shared" si="2"/>
        <v>171891698.19</v>
      </c>
      <c r="Y4" s="369">
        <f t="shared" si="2"/>
        <v>1297758.58</v>
      </c>
      <c r="Z4" s="296">
        <f t="shared" si="2"/>
        <v>248919854.61000001</v>
      </c>
      <c r="AA4" s="357">
        <f t="shared" si="2"/>
        <v>44056124.859999999</v>
      </c>
      <c r="AB4" s="358">
        <f t="shared" si="2"/>
        <v>0</v>
      </c>
      <c r="AC4" s="358">
        <f t="shared" si="2"/>
        <v>3970856</v>
      </c>
      <c r="AD4" s="358">
        <f t="shared" si="2"/>
        <v>3751747</v>
      </c>
      <c r="AE4" s="358">
        <f t="shared" si="2"/>
        <v>0</v>
      </c>
      <c r="AF4" s="358">
        <f t="shared" si="2"/>
        <v>0</v>
      </c>
      <c r="AG4" s="358">
        <f t="shared" si="2"/>
        <v>4689620</v>
      </c>
      <c r="AH4" s="359">
        <f>SUM(AA4:AG4)</f>
        <v>56468347.859999999</v>
      </c>
      <c r="AI4" s="359" t="str">
        <f>IF(ROUND(AH4,0)=ROUND(AJ4,0),"MATCH","FIX NEEDED")</f>
        <v>MATCH</v>
      </c>
      <c r="AJ4" s="370">
        <f t="shared" ref="AJ4:AR4" si="3">AJ7+AJ23+AJ33</f>
        <v>56468347.859999999</v>
      </c>
      <c r="AK4" s="357">
        <f t="shared" si="3"/>
        <v>24244279.699999999</v>
      </c>
      <c r="AL4" s="358">
        <f t="shared" si="3"/>
        <v>0</v>
      </c>
      <c r="AM4" s="358">
        <f t="shared" si="3"/>
        <v>408118</v>
      </c>
      <c r="AN4" s="358">
        <f t="shared" si="3"/>
        <v>211523.1</v>
      </c>
      <c r="AO4" s="358">
        <f t="shared" si="3"/>
        <v>0</v>
      </c>
      <c r="AP4" s="358">
        <f t="shared" si="3"/>
        <v>0</v>
      </c>
      <c r="AQ4" s="358">
        <f t="shared" si="3"/>
        <v>14821.6</v>
      </c>
      <c r="AR4" s="370">
        <f t="shared" si="3"/>
        <v>24878121.400000002</v>
      </c>
      <c r="AS4" s="371">
        <f t="shared" ref="AS4:AS22" si="4">SUM(AJ4+AR4)</f>
        <v>81346469.260000005</v>
      </c>
      <c r="AT4" s="357">
        <f>AT7+AT23+AT33</f>
        <v>25551249.789947428</v>
      </c>
      <c r="AU4" s="358">
        <f>AU7+AU23+AU33</f>
        <v>6526114.5700000003</v>
      </c>
      <c r="AV4" s="358">
        <f>AV7+AV23+AV33</f>
        <v>16938321.440000001</v>
      </c>
      <c r="AW4" s="358">
        <f>SUM(AT4:AV4)</f>
        <v>49015685.799947426</v>
      </c>
      <c r="AX4" s="358">
        <f>AX7+AX23+AX33</f>
        <v>8737047.9199999999</v>
      </c>
      <c r="AY4" s="358">
        <f>AY7+AY23+AY33</f>
        <v>26542557.07</v>
      </c>
      <c r="AZ4" s="358">
        <f>AZ7+AZ23+AZ33</f>
        <v>989307</v>
      </c>
      <c r="BA4" s="358">
        <f>SUM(AX4:AZ4)</f>
        <v>36268911.990000002</v>
      </c>
      <c r="BB4" s="359">
        <f>AW4+BA4</f>
        <v>85284597.78994742</v>
      </c>
      <c r="BC4" s="359" t="str">
        <f t="shared" ref="BC4" si="5">IF(ROUND(BB4,0)=ROUND(BD4,0),"MATCH","FIX NEEDED")</f>
        <v>MATCH</v>
      </c>
      <c r="BD4" s="370">
        <f>BD7+BD23+BD33</f>
        <v>85284597.78994742</v>
      </c>
      <c r="BE4" s="372">
        <f>BE7+BE23+BE33</f>
        <v>572637637.93000007</v>
      </c>
      <c r="BF4" s="369">
        <f>BF7+BF23+BF33</f>
        <v>471480560.25999999</v>
      </c>
      <c r="BG4" s="426">
        <f>BF4/BE4</f>
        <v>0.82334888423389729</v>
      </c>
      <c r="BH4" s="297">
        <f>(X4-X15-X21)/BL4</f>
        <v>19.675079007229613</v>
      </c>
      <c r="BI4" s="297">
        <f t="shared" ref="BI4:BI22" si="6">X4/BN4</f>
        <v>1.0545472705168206</v>
      </c>
      <c r="BJ4" s="297">
        <f>(BD4-BD15-BD21)/BL4</f>
        <v>11.876135170571516</v>
      </c>
      <c r="BK4" s="298">
        <f t="shared" ref="BK4:BK8" si="7">BD4/BN4</f>
        <v>0.52321689042307751</v>
      </c>
      <c r="BL4" s="295">
        <f>BL7+BL23+BL33</f>
        <v>6950487.3500000006</v>
      </c>
      <c r="BM4" s="294">
        <f>BM7+BM23+BM33</f>
        <v>431229183.67000002</v>
      </c>
      <c r="BN4" s="299">
        <f>BN7+BN23+BN33</f>
        <v>163000467.59</v>
      </c>
      <c r="BO4" s="109"/>
      <c r="BP4" s="131"/>
      <c r="BQ4" s="131"/>
      <c r="BR4" s="131"/>
      <c r="BS4" s="131"/>
      <c r="BT4" s="131"/>
      <c r="BU4" s="131"/>
      <c r="BV4" s="131"/>
      <c r="BW4" s="131"/>
      <c r="BX4" s="131"/>
      <c r="BY4" s="131"/>
      <c r="BZ4" s="131"/>
      <c r="CA4" s="131"/>
      <c r="CB4" s="132"/>
    </row>
    <row r="5" spans="1:82" ht="14.25" customHeight="1" x14ac:dyDescent="0.35">
      <c r="A5" s="316" t="s">
        <v>456</v>
      </c>
      <c r="B5" s="361">
        <f t="shared" ref="B5:I5" si="8">B9+B10+B12+B14+B16+B18+B19+B20+B22+B25+B27+B29+B30+B32+B35+B41+B50</f>
        <v>51001440.1413</v>
      </c>
      <c r="C5" s="26">
        <f t="shared" si="8"/>
        <v>15369615.552800003</v>
      </c>
      <c r="D5" s="26">
        <f t="shared" si="8"/>
        <v>22077714</v>
      </c>
      <c r="E5" s="26">
        <f t="shared" si="8"/>
        <v>21315348.305900004</v>
      </c>
      <c r="F5" s="26">
        <f t="shared" si="8"/>
        <v>22721668</v>
      </c>
      <c r="G5" s="26">
        <f t="shared" si="8"/>
        <v>2797387</v>
      </c>
      <c r="H5" s="26">
        <f t="shared" si="8"/>
        <v>104646</v>
      </c>
      <c r="I5" s="26">
        <f t="shared" si="8"/>
        <v>7238</v>
      </c>
      <c r="J5" s="282">
        <f>SUM(B5:I5)</f>
        <v>135395057</v>
      </c>
      <c r="K5" s="362" t="str">
        <f>IF(ROUND(J5,0)=ROUND(L5,0),"MATCH","FIX NEEDED")</f>
        <v>MATCH</v>
      </c>
      <c r="L5" s="282">
        <f>L9+L10+L12+L14+L16+L18+L19+L20+L22+L25+L27+L29+L30+L32+L35+L41+L50</f>
        <v>135395056.84999996</v>
      </c>
      <c r="M5" s="361">
        <f t="shared" ref="M5:T5" si="9">M9+M10+M12+M14+M16+M18+M19+M20+M22+M25+M27+M29+M30+M32+M35+M41+M50</f>
        <v>28706788.596499998</v>
      </c>
      <c r="N5" s="171">
        <f t="shared" si="9"/>
        <v>3433937</v>
      </c>
      <c r="O5" s="171">
        <f t="shared" si="9"/>
        <v>3098346</v>
      </c>
      <c r="P5" s="171">
        <f t="shared" si="9"/>
        <v>85560</v>
      </c>
      <c r="Q5" s="171">
        <f t="shared" si="9"/>
        <v>1961.7435000000041</v>
      </c>
      <c r="R5" s="171">
        <f t="shared" si="9"/>
        <v>0</v>
      </c>
      <c r="S5" s="171">
        <f t="shared" si="9"/>
        <v>1170048</v>
      </c>
      <c r="T5" s="171">
        <f t="shared" si="9"/>
        <v>0</v>
      </c>
      <c r="U5" s="282">
        <f>SUM(M5:T5)</f>
        <v>36496641.339999996</v>
      </c>
      <c r="V5" s="362" t="str">
        <f>IF(ROUND(U5,0)=ROUND(W5,0),"MATCH","FIX NEEDED")</f>
        <v>MATCH</v>
      </c>
      <c r="W5" s="373">
        <f t="shared" ref="W5:AG5" si="10">W9+W10+W12+W14+W16+W18+W19+W20+W22+W25+W27+W29+W30+W32+W35+W41+W50</f>
        <v>36496641.339999996</v>
      </c>
      <c r="X5" s="374">
        <f t="shared" si="10"/>
        <v>171891698.19</v>
      </c>
      <c r="Y5" s="375">
        <f t="shared" si="10"/>
        <v>1297758.5799999982</v>
      </c>
      <c r="Z5" s="376">
        <f t="shared" si="10"/>
        <v>248919854.61000001</v>
      </c>
      <c r="AA5" s="361">
        <f t="shared" si="10"/>
        <v>44056124.859999999</v>
      </c>
      <c r="AB5" s="26">
        <f t="shared" si="10"/>
        <v>0</v>
      </c>
      <c r="AC5" s="26">
        <f t="shared" si="10"/>
        <v>3970856</v>
      </c>
      <c r="AD5" s="26">
        <f t="shared" si="10"/>
        <v>3751747</v>
      </c>
      <c r="AE5" s="26">
        <f t="shared" si="10"/>
        <v>0</v>
      </c>
      <c r="AF5" s="26">
        <f t="shared" si="10"/>
        <v>0</v>
      </c>
      <c r="AG5" s="26">
        <f t="shared" si="10"/>
        <v>4689620</v>
      </c>
      <c r="AH5" s="282">
        <f t="shared" ref="AH5:AH58" si="11">SUM(AA5:AG5)</f>
        <v>56468347.859999999</v>
      </c>
      <c r="AI5" s="362" t="str">
        <f>IF(ROUND(AH5,0)=ROUND(AJ5,0),"MATCH","FIX NEEDED")</f>
        <v>MATCH</v>
      </c>
      <c r="AJ5" s="103">
        <f t="shared" ref="AJ5:AR5" si="12">AJ9+AJ10+AJ12+AJ14+AJ16+AJ18+AJ19+AJ20+AJ22+AJ25+AJ27+AJ29+AJ30+AJ32+AJ35+AJ41+AJ50</f>
        <v>56468347.859999999</v>
      </c>
      <c r="AK5" s="361">
        <f t="shared" si="12"/>
        <v>24244279.699999999</v>
      </c>
      <c r="AL5" s="26">
        <f t="shared" si="12"/>
        <v>0</v>
      </c>
      <c r="AM5" s="26">
        <f t="shared" si="12"/>
        <v>408118</v>
      </c>
      <c r="AN5" s="26">
        <f t="shared" si="12"/>
        <v>211523.1</v>
      </c>
      <c r="AO5" s="26">
        <f t="shared" si="12"/>
        <v>0</v>
      </c>
      <c r="AP5" s="26">
        <f t="shared" si="12"/>
        <v>0</v>
      </c>
      <c r="AQ5" s="26">
        <f t="shared" si="12"/>
        <v>14821.6</v>
      </c>
      <c r="AR5" s="103">
        <f t="shared" si="12"/>
        <v>24878121.400000002</v>
      </c>
      <c r="AS5" s="377">
        <f t="shared" si="4"/>
        <v>81346469.260000005</v>
      </c>
      <c r="AT5" s="361">
        <f>AT9+AT10+AT12+AT14+AT16+AT18+AT19+AT20+AT22+AT25+AT27+AT29+AT30+AT32+AT35+AT41+AT50</f>
        <v>25551249.789947428</v>
      </c>
      <c r="AU5" s="26">
        <f>AU9+AU10+AU12+AU14+AU16+AU18+AU19+AU20+AU22+AU25+AU27+AU29+AU30+AU32+AU35+AU41+AU50</f>
        <v>6526114.5700000003</v>
      </c>
      <c r="AV5" s="26">
        <f>AV9+AV10+AV12+AV14+AV16+AV18+AV19+AV20+AV22+AV25+AV27+AV29+AV30+AV32+AV35+AV41+AV50</f>
        <v>16938321.439999998</v>
      </c>
      <c r="AW5" s="26">
        <f>SUM(AT5:AV5)</f>
        <v>49015685.799947426</v>
      </c>
      <c r="AX5" s="26">
        <f>AX9+AX10+AX12+AX14+AX16+AX18+AX19+AX20+AX22+AX25+AX27+AX29+AX30+AX32+AX35+AX41+AX50</f>
        <v>8737047.9199999999</v>
      </c>
      <c r="AY5" s="26">
        <f>AY9+AY10+AY12+AY14+AY16+AY18+AY19+AY20+AY22+AY25+AY27+AY29+AY30+AY32+AY35+AY41+AY50</f>
        <v>26542557.07</v>
      </c>
      <c r="AZ5" s="26">
        <f>AZ9+AZ10+AZ12+AZ14+AZ16+AZ18+AZ19+AZ20+AZ22+AZ25+AZ27+AZ29+AZ30+AZ32+AZ35+AZ41+AZ50</f>
        <v>989307</v>
      </c>
      <c r="BA5" s="26">
        <f>SUM(AX5:AZ5)</f>
        <v>36268911.990000002</v>
      </c>
      <c r="BB5" s="282">
        <f t="shared" ref="BB5:BB58" si="13">AW5+BA5</f>
        <v>85284597.78994742</v>
      </c>
      <c r="BC5" s="362" t="str">
        <f>IF(ROUND(BB5,0)=ROUND(BD5,0),"MATCH","FIX NEEDED")</f>
        <v>MATCH</v>
      </c>
      <c r="BD5" s="103">
        <f>BD9+BD10+BD12+BD14+BD16+BD18+BD19+BD20+BD22+BD25+BD27+BD29+BD30+BD32+BD35+BD41+BD50</f>
        <v>85284597.78994742</v>
      </c>
      <c r="BE5" s="377">
        <f>BE9+BE10+BE12+BE14+BE16+BE18+BE19+BE20+BE22+BE25+BE27+BE29+BE30+BE32+BE35+BE41+BE50</f>
        <v>572637637.93000007</v>
      </c>
      <c r="BF5" s="378">
        <f>BF9+BF10+BF12+BF14+BF16+BF18+BF19+BF20+BF22+BF25+BF27+BF29+BF30+BF32+BF35+BF41+BF50</f>
        <v>471480560.25999999</v>
      </c>
      <c r="BG5" s="273">
        <f>BF5/BE5</f>
        <v>0.82334888423389729</v>
      </c>
      <c r="BH5" s="167">
        <f>(X5-X15-X21)/BL5</f>
        <v>19.675079007229613</v>
      </c>
      <c r="BI5" s="168">
        <f t="shared" si="6"/>
        <v>1.0545472705168206</v>
      </c>
      <c r="BJ5" s="167">
        <f>(BD5-BD15-BD21)/BL5</f>
        <v>11.876135170571516</v>
      </c>
      <c r="BK5" s="274">
        <f t="shared" si="7"/>
        <v>0.52321689042307751</v>
      </c>
      <c r="BL5" s="171">
        <f>BL9+BL10+BL12+BL14+BL16+BL18+BL19+BL20+BL22+BL25+BL27+BL29+BL30+BL32+BL35+BL41+BL50</f>
        <v>6950487.3500000006</v>
      </c>
      <c r="BM5" s="26">
        <f>BM9+BM10+BM12+BM14+BM16+BM18+BM19+BM20+BM22+BM25+BM27+BM29+BM30+BM32+BM35+BM41+BM50</f>
        <v>431229183.67000002</v>
      </c>
      <c r="BN5" s="282">
        <f>BN9+BN10+BN12+BN14+BN16+BN18+BN19+BN20+BN22+BN25+BN27+BN29+BN30+BN32+BN35+BN41+BN50</f>
        <v>163000467.59</v>
      </c>
      <c r="BO5" s="112"/>
      <c r="BP5" s="102"/>
      <c r="BQ5" s="102"/>
      <c r="BR5" s="102"/>
      <c r="BS5" s="102"/>
      <c r="BT5" s="102"/>
      <c r="BU5" s="102"/>
      <c r="BV5" s="102"/>
      <c r="BW5" s="102"/>
      <c r="BX5" s="102"/>
      <c r="BY5" s="102"/>
      <c r="BZ5" s="102"/>
      <c r="CA5" s="102"/>
      <c r="CB5" s="286"/>
    </row>
    <row r="6" spans="1:82" ht="14.25" customHeight="1" x14ac:dyDescent="0.35">
      <c r="A6" s="316" t="s">
        <v>457</v>
      </c>
      <c r="B6" s="361">
        <f>B50+B9+B16+B14+B32</f>
        <v>14724327.6</v>
      </c>
      <c r="C6" s="361">
        <f t="shared" ref="C6:BF6" si="14">C50+C9+C16+C14+C32</f>
        <v>7203291.6400000006</v>
      </c>
      <c r="D6" s="361">
        <f t="shared" si="14"/>
        <v>0</v>
      </c>
      <c r="E6" s="361">
        <f t="shared" si="14"/>
        <v>19591712.810000002</v>
      </c>
      <c r="F6" s="361">
        <f t="shared" si="14"/>
        <v>22401706</v>
      </c>
      <c r="G6" s="361">
        <f t="shared" si="14"/>
        <v>0</v>
      </c>
      <c r="H6" s="361">
        <f t="shared" si="14"/>
        <v>88438</v>
      </c>
      <c r="I6" s="361">
        <f t="shared" si="14"/>
        <v>0</v>
      </c>
      <c r="J6" s="361">
        <f t="shared" si="14"/>
        <v>64009476.050000004</v>
      </c>
      <c r="K6" s="361" t="e">
        <f t="shared" ref="K6:AI6" si="15">K10+K14+K18+K27+K32+K41+K50</f>
        <v>#VALUE!</v>
      </c>
      <c r="L6" s="361">
        <f t="shared" si="14"/>
        <v>64009475.919999994</v>
      </c>
      <c r="M6" s="361">
        <f t="shared" si="14"/>
        <v>0</v>
      </c>
      <c r="N6" s="361">
        <f t="shared" si="14"/>
        <v>36284</v>
      </c>
      <c r="O6" s="361">
        <f t="shared" si="14"/>
        <v>2527791</v>
      </c>
      <c r="P6" s="361">
        <f t="shared" si="14"/>
        <v>0</v>
      </c>
      <c r="Q6" s="361">
        <f t="shared" si="14"/>
        <v>0</v>
      </c>
      <c r="R6" s="361">
        <f t="shared" si="14"/>
        <v>0</v>
      </c>
      <c r="S6" s="361">
        <f t="shared" si="14"/>
        <v>1170048</v>
      </c>
      <c r="T6" s="361">
        <f t="shared" si="14"/>
        <v>0</v>
      </c>
      <c r="U6" s="361">
        <f t="shared" si="14"/>
        <v>3734123</v>
      </c>
      <c r="V6" s="361" t="e">
        <f t="shared" si="15"/>
        <v>#VALUE!</v>
      </c>
      <c r="W6" s="361">
        <f t="shared" si="14"/>
        <v>3734123</v>
      </c>
      <c r="X6" s="361">
        <f t="shared" si="14"/>
        <v>67743598.919999987</v>
      </c>
      <c r="Y6" s="361">
        <f t="shared" si="14"/>
        <v>-7034417.0800000001</v>
      </c>
      <c r="Z6" s="361">
        <f t="shared" si="14"/>
        <v>137178058.71000001</v>
      </c>
      <c r="AA6" s="361">
        <f t="shared" si="14"/>
        <v>13618579.449999999</v>
      </c>
      <c r="AB6" s="361">
        <f t="shared" si="14"/>
        <v>0</v>
      </c>
      <c r="AC6" s="361">
        <f t="shared" si="14"/>
        <v>3091289</v>
      </c>
      <c r="AD6" s="361">
        <f t="shared" si="14"/>
        <v>3751747</v>
      </c>
      <c r="AE6" s="361">
        <f t="shared" si="14"/>
        <v>0</v>
      </c>
      <c r="AF6" s="361">
        <f t="shared" si="14"/>
        <v>0</v>
      </c>
      <c r="AG6" s="361">
        <f t="shared" si="14"/>
        <v>3415525</v>
      </c>
      <c r="AH6" s="361">
        <f t="shared" si="14"/>
        <v>23877140.449999999</v>
      </c>
      <c r="AI6" s="361" t="e">
        <f t="shared" si="15"/>
        <v>#VALUE!</v>
      </c>
      <c r="AJ6" s="361">
        <f t="shared" si="14"/>
        <v>23877140.449999999</v>
      </c>
      <c r="AK6" s="361">
        <f t="shared" si="14"/>
        <v>202829</v>
      </c>
      <c r="AL6" s="361">
        <f t="shared" si="14"/>
        <v>0</v>
      </c>
      <c r="AM6" s="361">
        <f t="shared" si="14"/>
        <v>0</v>
      </c>
      <c r="AN6" s="361">
        <f t="shared" si="14"/>
        <v>0</v>
      </c>
      <c r="AO6" s="361">
        <f t="shared" si="14"/>
        <v>0</v>
      </c>
      <c r="AP6" s="361">
        <f t="shared" si="14"/>
        <v>0</v>
      </c>
      <c r="AQ6" s="361">
        <f t="shared" si="14"/>
        <v>14821.6</v>
      </c>
      <c r="AR6" s="361">
        <f t="shared" si="14"/>
        <v>217650.6</v>
      </c>
      <c r="AS6" s="361">
        <f t="shared" si="14"/>
        <v>24094791.049999997</v>
      </c>
      <c r="AT6" s="361">
        <f t="shared" si="14"/>
        <v>14424295.85</v>
      </c>
      <c r="AU6" s="361">
        <f t="shared" si="14"/>
        <v>5980445.9500000002</v>
      </c>
      <c r="AV6" s="361">
        <f t="shared" si="14"/>
        <v>2865120.88</v>
      </c>
      <c r="AW6" s="361">
        <f t="shared" si="14"/>
        <v>23269862.68</v>
      </c>
      <c r="AX6" s="361">
        <f t="shared" si="14"/>
        <v>6962059.7200000007</v>
      </c>
      <c r="AY6" s="361">
        <f t="shared" si="14"/>
        <v>19243154</v>
      </c>
      <c r="AZ6" s="361">
        <f t="shared" si="14"/>
        <v>948664</v>
      </c>
      <c r="BA6" s="361">
        <f t="shared" si="14"/>
        <v>27153877.719999999</v>
      </c>
      <c r="BB6" s="361">
        <f t="shared" si="14"/>
        <v>50423740.399999999</v>
      </c>
      <c r="BC6" s="361" t="e">
        <f t="shared" si="14"/>
        <v>#VALUE!</v>
      </c>
      <c r="BD6" s="361">
        <f t="shared" si="14"/>
        <v>50423740.400000006</v>
      </c>
      <c r="BE6" s="361">
        <f t="shared" si="14"/>
        <v>348245051.31999999</v>
      </c>
      <c r="BF6" s="361">
        <f t="shared" si="14"/>
        <v>291660113.38</v>
      </c>
      <c r="BG6" s="273">
        <f>BF6/BE6</f>
        <v>0.83751402144691356</v>
      </c>
      <c r="BH6" s="167">
        <f>X6/BL6</f>
        <v>14.039624754321171</v>
      </c>
      <c r="BI6" s="168">
        <f t="shared" si="6"/>
        <v>0.72135764786259426</v>
      </c>
      <c r="BJ6" s="167">
        <f t="shared" ref="BJ6:BJ8" si="16">BD6/BL6</f>
        <v>10.450144444810443</v>
      </c>
      <c r="BK6" s="274">
        <f t="shared" si="7"/>
        <v>0.5369297077696219</v>
      </c>
      <c r="BL6" s="171">
        <f t="shared" ref="BL6:BN6" si="17">BL50+BL9+BL16+BL14+BL32</f>
        <v>4825171.62</v>
      </c>
      <c r="BM6" s="171">
        <f t="shared" si="17"/>
        <v>189129336.94999999</v>
      </c>
      <c r="BN6" s="171">
        <f t="shared" si="17"/>
        <v>93911250.710000008</v>
      </c>
      <c r="BO6" s="112"/>
      <c r="BP6" s="102"/>
      <c r="BQ6" s="102"/>
      <c r="BR6" s="102"/>
      <c r="BS6" s="102"/>
      <c r="BT6" s="102"/>
      <c r="BU6" s="102"/>
      <c r="BV6" s="102"/>
      <c r="BW6" s="102"/>
      <c r="BX6" s="102"/>
      <c r="BY6" s="102"/>
      <c r="BZ6" s="102"/>
      <c r="CA6" s="102"/>
      <c r="CB6" s="286"/>
    </row>
    <row r="7" spans="1:82" s="13" customFormat="1" ht="14.25" customHeight="1" x14ac:dyDescent="0.35">
      <c r="A7" s="317" t="s">
        <v>349</v>
      </c>
      <c r="B7" s="172">
        <f>B8+B11+B13+B15+B17+B21</f>
        <v>43295655</v>
      </c>
      <c r="C7" s="104">
        <f>C8+C11+C13+C15+C17+C21</f>
        <v>12336078.440000001</v>
      </c>
      <c r="D7" s="104">
        <f t="shared" ref="D7:I7" si="18">D8+D11+D13+D15+D17+D21</f>
        <v>762445</v>
      </c>
      <c r="E7" s="104">
        <f>E8+E11+E13+E15+E17+E21</f>
        <v>3113343</v>
      </c>
      <c r="F7" s="104">
        <f t="shared" si="18"/>
        <v>4762734</v>
      </c>
      <c r="G7" s="104">
        <f t="shared" si="18"/>
        <v>0</v>
      </c>
      <c r="H7" s="104">
        <f t="shared" si="18"/>
        <v>104634</v>
      </c>
      <c r="I7" s="104">
        <f t="shared" si="18"/>
        <v>7238</v>
      </c>
      <c r="J7" s="283">
        <f t="shared" ref="J7:J58" si="19">SUM(B7:I7)</f>
        <v>64382127.439999998</v>
      </c>
      <c r="K7" s="283" t="str">
        <f t="shared" ref="K7:K58" si="20">IF(ROUND(J7,0)=ROUND(L7,0),"MATCH","FIX NEEDED")</f>
        <v>MATCH</v>
      </c>
      <c r="L7" s="283">
        <f>L8+L11+L13+L15+L17+L21</f>
        <v>64382127.289999992</v>
      </c>
      <c r="M7" s="172">
        <f t="shared" ref="M7:T7" si="21">M8+M11+M13+M15+M17+M21</f>
        <v>27335411</v>
      </c>
      <c r="N7" s="115">
        <f t="shared" si="21"/>
        <v>0</v>
      </c>
      <c r="O7" s="115">
        <f t="shared" si="21"/>
        <v>256120</v>
      </c>
      <c r="P7" s="115">
        <f t="shared" si="21"/>
        <v>0</v>
      </c>
      <c r="Q7" s="115">
        <f t="shared" si="21"/>
        <v>0</v>
      </c>
      <c r="R7" s="115">
        <f t="shared" si="21"/>
        <v>0</v>
      </c>
      <c r="S7" s="115">
        <f t="shared" si="21"/>
        <v>1170048</v>
      </c>
      <c r="T7" s="115">
        <f t="shared" si="21"/>
        <v>0</v>
      </c>
      <c r="U7" s="283">
        <f t="shared" ref="U7:U8" si="22">SUM(M7:T7)</f>
        <v>28761579</v>
      </c>
      <c r="V7" s="283" t="str">
        <f t="shared" ref="V7:V58" si="23">IF(ROUND(U7,0)=ROUND(W7,0),"MATCH","FIX NEEDED")</f>
        <v>MATCH</v>
      </c>
      <c r="W7" s="379">
        <f t="shared" ref="W7:BD7" si="24">W8+W11+W13+W15+W17+W21</f>
        <v>28761579</v>
      </c>
      <c r="X7" s="379">
        <f>X8+X11+X13+X15+X17+X21</f>
        <v>93143706.289999992</v>
      </c>
      <c r="Y7" s="380">
        <f>Y8+Y11+Y13+Y15+Y17+Y21</f>
        <v>13047772.699999999</v>
      </c>
      <c r="Z7" s="381">
        <f t="shared" si="24"/>
        <v>131750715.75</v>
      </c>
      <c r="AA7" s="172">
        <f t="shared" si="24"/>
        <v>29069955.449999999</v>
      </c>
      <c r="AB7" s="104">
        <f t="shared" si="24"/>
        <v>0</v>
      </c>
      <c r="AC7" s="104">
        <f t="shared" si="24"/>
        <v>3970856</v>
      </c>
      <c r="AD7" s="104">
        <f t="shared" si="24"/>
        <v>0</v>
      </c>
      <c r="AE7" s="104">
        <f t="shared" si="24"/>
        <v>0</v>
      </c>
      <c r="AF7" s="104">
        <f t="shared" si="24"/>
        <v>0</v>
      </c>
      <c r="AG7" s="104">
        <f t="shared" si="24"/>
        <v>415181</v>
      </c>
      <c r="AH7" s="283">
        <f t="shared" si="11"/>
        <v>33455992.449999999</v>
      </c>
      <c r="AI7" s="283" t="str">
        <f t="shared" ref="AI7:AI58" si="25">IF(ROUND(AH7,0)=ROUND(AJ7,0),"MATCH","FIX NEEDED")</f>
        <v>MATCH</v>
      </c>
      <c r="AJ7" s="114">
        <f t="shared" si="24"/>
        <v>33455992.449999999</v>
      </c>
      <c r="AK7" s="172">
        <f t="shared" si="24"/>
        <v>24041450.699999999</v>
      </c>
      <c r="AL7" s="104">
        <f t="shared" si="24"/>
        <v>0</v>
      </c>
      <c r="AM7" s="104">
        <f t="shared" si="24"/>
        <v>331894</v>
      </c>
      <c r="AN7" s="104">
        <f t="shared" si="24"/>
        <v>0</v>
      </c>
      <c r="AO7" s="104">
        <f t="shared" si="24"/>
        <v>0</v>
      </c>
      <c r="AP7" s="104">
        <f t="shared" si="24"/>
        <v>0</v>
      </c>
      <c r="AQ7" s="104">
        <f t="shared" si="24"/>
        <v>14821.6</v>
      </c>
      <c r="AR7" s="114">
        <f t="shared" si="24"/>
        <v>24388166.300000001</v>
      </c>
      <c r="AS7" s="382">
        <f t="shared" si="4"/>
        <v>57844158.75</v>
      </c>
      <c r="AT7" s="172">
        <f>AT8+AT11+AT13+AT15+AT17+AT21</f>
        <v>14077163.969947428</v>
      </c>
      <c r="AU7" s="104">
        <f t="shared" ref="AU7:BA7" si="26">AU8+AU11+AU13+AU15+AU17+AU21</f>
        <v>687067.26</v>
      </c>
      <c r="AV7" s="104">
        <f t="shared" si="26"/>
        <v>3200855.88</v>
      </c>
      <c r="AW7" s="104">
        <f t="shared" si="26"/>
        <v>17965087.109947428</v>
      </c>
      <c r="AX7" s="104">
        <f t="shared" si="26"/>
        <v>109738</v>
      </c>
      <c r="AY7" s="104">
        <f t="shared" si="26"/>
        <v>1055838</v>
      </c>
      <c r="AZ7" s="104">
        <f t="shared" si="26"/>
        <v>0</v>
      </c>
      <c r="BA7" s="104">
        <f t="shared" si="26"/>
        <v>1165576</v>
      </c>
      <c r="BB7" s="283">
        <f t="shared" si="13"/>
        <v>19130663.109947428</v>
      </c>
      <c r="BC7" s="283" t="str">
        <f t="shared" ref="BC7:BC58" si="27">IF(ROUND(BB7,0)=ROUND(BD7,0),"MATCH","FIX NEEDED")</f>
        <v>MATCH</v>
      </c>
      <c r="BD7" s="114">
        <f t="shared" si="24"/>
        <v>19130663.109947424</v>
      </c>
      <c r="BE7" s="382">
        <f t="shared" ref="BE7" si="28">BE8+BE11+BE13+BE15+BE17+BE21</f>
        <v>118444269.19</v>
      </c>
      <c r="BF7" s="380">
        <f t="shared" ref="BF7" si="29">BF8+BF11+BF13+BF15+BF17+BF21</f>
        <v>90673654.629999995</v>
      </c>
      <c r="BG7" s="275">
        <f t="shared" ref="BG7:BG51" si="30">BF7/BE7</f>
        <v>0.76553855454625397</v>
      </c>
      <c r="BH7" s="169">
        <f>(X7-X15-X21)/BL7</f>
        <v>25.350272551921087</v>
      </c>
      <c r="BI7" s="170">
        <f t="shared" si="6"/>
        <v>1.8141657598454899</v>
      </c>
      <c r="BJ7" s="169">
        <f>(BD7-BD15-BD21)/BL7</f>
        <v>7.1636517735312246</v>
      </c>
      <c r="BK7" s="276">
        <f t="shared" si="7"/>
        <v>0.37260911509307143</v>
      </c>
      <c r="BL7" s="115">
        <f>BL8+BL11+BL13+BL15+BL17+BL21</f>
        <v>2288077.8000000003</v>
      </c>
      <c r="BM7" s="104">
        <f t="shared" ref="BM7" si="31">BM8+BM11+BM13+BM15+BM17+BM21</f>
        <v>393340832.72000003</v>
      </c>
      <c r="BN7" s="283">
        <f t="shared" ref="BN7" si="32">BN8+BN11+BN13+BN15+BN17+BN21</f>
        <v>51342445.299999997</v>
      </c>
      <c r="BO7" s="112"/>
      <c r="BP7" s="102"/>
      <c r="BQ7" s="102"/>
      <c r="BR7" s="102"/>
      <c r="BS7" s="102"/>
      <c r="BT7" s="102"/>
      <c r="BU7" s="102"/>
      <c r="BV7" s="102"/>
      <c r="BW7" s="102"/>
      <c r="BX7" s="102"/>
      <c r="BY7" s="102"/>
      <c r="BZ7" s="102"/>
      <c r="CA7" s="102"/>
      <c r="CB7" s="286"/>
      <c r="CC7" s="125"/>
      <c r="CD7" s="125"/>
    </row>
    <row r="8" spans="1:82" ht="14.25" customHeight="1" x14ac:dyDescent="0.35">
      <c r="A8" s="318" t="s">
        <v>351</v>
      </c>
      <c r="B8" s="174">
        <f t="shared" ref="B8:I8" si="33">SUM(B9:B10)</f>
        <v>2700840</v>
      </c>
      <c r="C8" s="108">
        <f t="shared" si="33"/>
        <v>2255020</v>
      </c>
      <c r="D8" s="108">
        <f t="shared" si="33"/>
        <v>0</v>
      </c>
      <c r="E8" s="108">
        <f>SUM(E9:E10)</f>
        <v>1854815</v>
      </c>
      <c r="F8" s="108">
        <f t="shared" si="33"/>
        <v>4203210</v>
      </c>
      <c r="G8" s="108">
        <f t="shared" si="33"/>
        <v>0</v>
      </c>
      <c r="H8" s="108">
        <f t="shared" si="33"/>
        <v>0</v>
      </c>
      <c r="I8" s="108">
        <f t="shared" si="33"/>
        <v>0</v>
      </c>
      <c r="J8" s="284">
        <f t="shared" si="19"/>
        <v>11013885</v>
      </c>
      <c r="K8" s="284" t="str">
        <f t="shared" si="20"/>
        <v>MATCH</v>
      </c>
      <c r="L8" s="284">
        <f t="shared" ref="L8" si="34">SUM(L9:L10)</f>
        <v>11013885</v>
      </c>
      <c r="M8" s="174">
        <f t="shared" ref="M8:T8" si="35">SUM(M9:M10)</f>
        <v>0</v>
      </c>
      <c r="N8" s="126">
        <f t="shared" si="35"/>
        <v>0</v>
      </c>
      <c r="O8" s="126">
        <f t="shared" si="35"/>
        <v>0</v>
      </c>
      <c r="P8" s="126">
        <f t="shared" si="35"/>
        <v>0</v>
      </c>
      <c r="Q8" s="126">
        <f t="shared" si="35"/>
        <v>0</v>
      </c>
      <c r="R8" s="126">
        <f t="shared" si="35"/>
        <v>0</v>
      </c>
      <c r="S8" s="126">
        <f t="shared" si="35"/>
        <v>0</v>
      </c>
      <c r="T8" s="126">
        <f t="shared" si="35"/>
        <v>0</v>
      </c>
      <c r="U8" s="284">
        <f t="shared" si="22"/>
        <v>0</v>
      </c>
      <c r="V8" s="284" t="str">
        <f t="shared" si="23"/>
        <v>MATCH</v>
      </c>
      <c r="W8" s="383">
        <f t="shared" ref="W8:AR8" si="36">SUM(W9:W10)</f>
        <v>0</v>
      </c>
      <c r="X8" s="383">
        <f>SUM(X9:X10)</f>
        <v>11013885</v>
      </c>
      <c r="Y8" s="384">
        <f t="shared" si="36"/>
        <v>3150563.3</v>
      </c>
      <c r="Z8" s="385">
        <f t="shared" si="36"/>
        <v>2393328</v>
      </c>
      <c r="AA8" s="174">
        <f t="shared" ref="AA8:AG8" si="37">SUM(AA9:AA10)</f>
        <v>591275</v>
      </c>
      <c r="AB8" s="108">
        <f t="shared" si="37"/>
        <v>0</v>
      </c>
      <c r="AC8" s="108">
        <f t="shared" si="37"/>
        <v>1975805</v>
      </c>
      <c r="AD8" s="108">
        <f t="shared" si="37"/>
        <v>0</v>
      </c>
      <c r="AE8" s="108">
        <f t="shared" si="37"/>
        <v>0</v>
      </c>
      <c r="AF8" s="108">
        <f t="shared" si="37"/>
        <v>0</v>
      </c>
      <c r="AG8" s="108">
        <f t="shared" si="37"/>
        <v>305125</v>
      </c>
      <c r="AH8" s="284">
        <f t="shared" si="11"/>
        <v>2872205</v>
      </c>
      <c r="AI8" s="284" t="str">
        <f t="shared" si="25"/>
        <v>MATCH</v>
      </c>
      <c r="AJ8" s="111">
        <f t="shared" si="36"/>
        <v>2872205</v>
      </c>
      <c r="AK8" s="174">
        <f t="shared" ref="AK8:AQ8" si="38">SUM(AK9:AK10)</f>
        <v>0</v>
      </c>
      <c r="AL8" s="108">
        <f t="shared" si="38"/>
        <v>0</v>
      </c>
      <c r="AM8" s="108">
        <f t="shared" si="38"/>
        <v>0</v>
      </c>
      <c r="AN8" s="108">
        <f t="shared" si="38"/>
        <v>0</v>
      </c>
      <c r="AO8" s="108">
        <f t="shared" si="38"/>
        <v>0</v>
      </c>
      <c r="AP8" s="108">
        <f t="shared" si="38"/>
        <v>0</v>
      </c>
      <c r="AQ8" s="108">
        <f t="shared" si="38"/>
        <v>0</v>
      </c>
      <c r="AR8" s="111">
        <f t="shared" si="36"/>
        <v>0</v>
      </c>
      <c r="AS8" s="386">
        <f t="shared" si="4"/>
        <v>2872205</v>
      </c>
      <c r="AT8" s="174">
        <f t="shared" ref="AT8:AZ8" si="39">SUM(AT9:AT10)</f>
        <v>2670233</v>
      </c>
      <c r="AU8" s="108">
        <f t="shared" si="39"/>
        <v>70237</v>
      </c>
      <c r="AV8" s="108">
        <f t="shared" si="39"/>
        <v>1778193</v>
      </c>
      <c r="AW8" s="108">
        <f t="shared" ref="AW8:AW56" si="40">SUM(AT8:AV8)</f>
        <v>4518663</v>
      </c>
      <c r="AX8" s="108">
        <f t="shared" si="39"/>
        <v>0</v>
      </c>
      <c r="AY8" s="108">
        <f t="shared" si="39"/>
        <v>0</v>
      </c>
      <c r="AZ8" s="108">
        <f t="shared" si="39"/>
        <v>0</v>
      </c>
      <c r="BA8" s="108">
        <f t="shared" ref="BA8:BA56" si="41">SUM(AX8:AZ8)</f>
        <v>0</v>
      </c>
      <c r="BB8" s="284">
        <f t="shared" si="13"/>
        <v>4518663</v>
      </c>
      <c r="BC8" s="284" t="str">
        <f t="shared" si="27"/>
        <v>MATCH</v>
      </c>
      <c r="BD8" s="111">
        <f>SUM(BD9:BD10)</f>
        <v>4518663</v>
      </c>
      <c r="BE8" s="386">
        <f t="shared" ref="BE8:BF8" si="42">SUM(BE9:BE10)</f>
        <v>28298041</v>
      </c>
      <c r="BF8" s="384">
        <f t="shared" si="42"/>
        <v>20121774</v>
      </c>
      <c r="BG8" s="277">
        <f t="shared" si="30"/>
        <v>0.71106597096244228</v>
      </c>
      <c r="BH8" s="250">
        <f t="shared" ref="BH8:BH20" si="43">X8/BL8</f>
        <v>15.804088385581309</v>
      </c>
      <c r="BI8" s="251">
        <f t="shared" si="6"/>
        <v>2.1945968596652836</v>
      </c>
      <c r="BJ8" s="250">
        <f t="shared" si="16"/>
        <v>6.4839381777325613</v>
      </c>
      <c r="BK8" s="278">
        <f t="shared" si="7"/>
        <v>0.90037653649785787</v>
      </c>
      <c r="BL8" s="195">
        <f>SUM(BL9:BL10)</f>
        <v>696901</v>
      </c>
      <c r="BM8" s="196">
        <f t="shared" ref="BM8:BN8" si="44">SUM(BM9:BM10)</f>
        <v>0</v>
      </c>
      <c r="BN8" s="197">
        <f t="shared" si="44"/>
        <v>5018637</v>
      </c>
      <c r="BO8" s="112"/>
      <c r="BP8" s="102"/>
      <c r="BQ8" s="102"/>
      <c r="BR8" s="102"/>
      <c r="BS8" s="102"/>
      <c r="BT8" s="102"/>
      <c r="BU8" s="102"/>
      <c r="BV8" s="102"/>
      <c r="BW8" s="102"/>
      <c r="BX8" s="102"/>
      <c r="BY8" s="102"/>
      <c r="BZ8" s="102"/>
      <c r="CA8" s="102"/>
      <c r="CB8" s="286"/>
    </row>
    <row r="9" spans="1:82" ht="14.25" customHeight="1" x14ac:dyDescent="0.35">
      <c r="A9" s="319" t="s">
        <v>352</v>
      </c>
      <c r="B9" s="252">
        <f>239167+646156+944554+498078+261603+111282</f>
        <v>2700840</v>
      </c>
      <c r="C9" s="253">
        <f>146563+128360+175425+178953+171163+116746+153739+259053+304843+158359+235600+226216</f>
        <v>2255020</v>
      </c>
      <c r="D9" s="253"/>
      <c r="E9" s="253">
        <f>129248+69534+245964+175596+156313+79399+178281+160808+194736+142902+185752+136282</f>
        <v>1854815</v>
      </c>
      <c r="F9" s="253">
        <f>L9-B9-C9-E9</f>
        <v>4203210</v>
      </c>
      <c r="G9" s="253"/>
      <c r="H9" s="253"/>
      <c r="I9" s="253"/>
      <c r="J9" s="362">
        <f>SUM(B9:I9)</f>
        <v>11013885</v>
      </c>
      <c r="K9" s="362" t="str">
        <f t="shared" si="20"/>
        <v>MATCH</v>
      </c>
      <c r="L9" s="362">
        <f>3855343+7158542</f>
        <v>11013885</v>
      </c>
      <c r="M9" s="252"/>
      <c r="N9" s="363"/>
      <c r="O9" s="363"/>
      <c r="P9" s="363"/>
      <c r="Q9" s="363"/>
      <c r="R9" s="363"/>
      <c r="S9" s="363"/>
      <c r="T9" s="363"/>
      <c r="U9" s="362">
        <f>SUM(M9:T9)</f>
        <v>0</v>
      </c>
      <c r="V9" s="362" t="str">
        <f t="shared" si="23"/>
        <v>MATCH</v>
      </c>
      <c r="W9" s="387">
        <v>0</v>
      </c>
      <c r="X9" s="387">
        <f>L9+W9</f>
        <v>11013885</v>
      </c>
      <c r="Y9" s="388">
        <f>1266250.3+1884313</f>
        <v>3150563.3</v>
      </c>
      <c r="Z9" s="389">
        <f>956595+1436733</f>
        <v>2393328</v>
      </c>
      <c r="AA9" s="252">
        <f>61836+35755+40564+36832+39605+37337+66643+52835+47686+63512+61334+47336</f>
        <v>591275</v>
      </c>
      <c r="AB9" s="253"/>
      <c r="AC9" s="253">
        <f>AJ9-AG9-AA9</f>
        <v>1975805</v>
      </c>
      <c r="AD9" s="253"/>
      <c r="AE9" s="253"/>
      <c r="AF9" s="253"/>
      <c r="AG9" s="253">
        <f>19892+19239+31152+20851+26035+28008+25304+26708+31248+38265+19523+18900</f>
        <v>305125</v>
      </c>
      <c r="AH9" s="362">
        <f t="shared" si="11"/>
        <v>2872205</v>
      </c>
      <c r="AI9" s="362" t="str">
        <f t="shared" si="25"/>
        <v>MATCH</v>
      </c>
      <c r="AJ9" s="254">
        <f>778290+2093915</f>
        <v>2872205</v>
      </c>
      <c r="AK9" s="252"/>
      <c r="AL9" s="253"/>
      <c r="AM9" s="253"/>
      <c r="AN9" s="253"/>
      <c r="AO9" s="253"/>
      <c r="AP9" s="253"/>
      <c r="AQ9" s="253"/>
      <c r="AR9" s="254">
        <v>0</v>
      </c>
      <c r="AS9" s="390">
        <f t="shared" si="4"/>
        <v>2872205</v>
      </c>
      <c r="AT9" s="252">
        <f>2617305+52928</f>
        <v>2670233</v>
      </c>
      <c r="AU9" s="253">
        <f>787+69450</f>
        <v>70237</v>
      </c>
      <c r="AV9" s="253">
        <f>1109405+668788</f>
        <v>1778193</v>
      </c>
      <c r="AW9" s="253">
        <f t="shared" si="40"/>
        <v>4518663</v>
      </c>
      <c r="AX9" s="253"/>
      <c r="AY9" s="253"/>
      <c r="AZ9" s="253"/>
      <c r="BA9" s="253">
        <f t="shared" si="41"/>
        <v>0</v>
      </c>
      <c r="BB9" s="362">
        <f t="shared" si="13"/>
        <v>4518663</v>
      </c>
      <c r="BC9" s="362" t="str">
        <f t="shared" si="27"/>
        <v>MATCH</v>
      </c>
      <c r="BD9" s="254">
        <f>BA9+AW9</f>
        <v>4518663</v>
      </c>
      <c r="BE9" s="391">
        <f>3977423+24320618</f>
        <v>28298041</v>
      </c>
      <c r="BF9" s="389">
        <v>20121774</v>
      </c>
      <c r="BG9" s="279">
        <f>BF9/BE9</f>
        <v>0.71106597096244228</v>
      </c>
      <c r="BH9" s="167">
        <f t="shared" si="43"/>
        <v>15.804088385581309</v>
      </c>
      <c r="BI9" s="255">
        <f t="shared" si="6"/>
        <v>2.1945968596652836</v>
      </c>
      <c r="BJ9" s="167">
        <f>BD9/BL9</f>
        <v>6.4839381777325613</v>
      </c>
      <c r="BK9" s="280">
        <f>BD9/BN9</f>
        <v>0.90037653649785787</v>
      </c>
      <c r="BL9" s="209">
        <f>'GHG and Energy Use Dec'!Q7</f>
        <v>696901</v>
      </c>
      <c r="BM9" s="209">
        <f>'GHG and Energy Use Dec'!R7</f>
        <v>0</v>
      </c>
      <c r="BN9" s="209">
        <f>'GHG and Energy Use Dec'!S7</f>
        <v>5018637</v>
      </c>
      <c r="BO9" s="112" t="s">
        <v>458</v>
      </c>
      <c r="BP9" s="102" t="s">
        <v>459</v>
      </c>
      <c r="BQ9" s="102" t="s">
        <v>460</v>
      </c>
      <c r="BR9" s="102" t="s">
        <v>461</v>
      </c>
      <c r="BS9" s="102" t="s">
        <v>462</v>
      </c>
      <c r="BT9" s="102" t="s">
        <v>463</v>
      </c>
      <c r="BU9" s="102" t="s">
        <v>464</v>
      </c>
      <c r="BV9" s="102" t="s">
        <v>465</v>
      </c>
      <c r="BW9" s="102" t="s">
        <v>466</v>
      </c>
      <c r="BX9" s="102" t="s">
        <v>467</v>
      </c>
      <c r="BY9" s="102" t="s">
        <v>468</v>
      </c>
      <c r="BZ9" s="102" t="s">
        <v>469</v>
      </c>
      <c r="CA9" s="102" t="s">
        <v>470</v>
      </c>
      <c r="CB9" s="286" t="s">
        <v>468</v>
      </c>
    </row>
    <row r="10" spans="1:82" ht="14.25" hidden="1" customHeight="1" x14ac:dyDescent="0.35">
      <c r="A10" s="319" t="s">
        <v>353</v>
      </c>
      <c r="B10" s="252"/>
      <c r="C10" s="253"/>
      <c r="D10" s="253"/>
      <c r="E10" s="253"/>
      <c r="F10" s="253"/>
      <c r="G10" s="253"/>
      <c r="H10" s="253"/>
      <c r="I10" s="285"/>
      <c r="J10" s="362">
        <f t="shared" si="19"/>
        <v>0</v>
      </c>
      <c r="K10" s="362" t="str">
        <f t="shared" si="20"/>
        <v>MATCH</v>
      </c>
      <c r="L10" s="285"/>
      <c r="M10" s="252"/>
      <c r="N10" s="363"/>
      <c r="O10" s="363"/>
      <c r="P10" s="363"/>
      <c r="Q10" s="363"/>
      <c r="R10" s="363"/>
      <c r="S10" s="363"/>
      <c r="T10" s="363"/>
      <c r="U10" s="362">
        <f t="shared" ref="U10:U58" si="45">SUM(M10:T10)</f>
        <v>0</v>
      </c>
      <c r="V10" s="362" t="str">
        <f t="shared" si="23"/>
        <v>MATCH</v>
      </c>
      <c r="W10" s="403"/>
      <c r="X10" s="387"/>
      <c r="Y10" s="388"/>
      <c r="Z10" s="404"/>
      <c r="AA10" s="252"/>
      <c r="AB10" s="253"/>
      <c r="AC10" s="253"/>
      <c r="AD10" s="253"/>
      <c r="AE10" s="253"/>
      <c r="AF10" s="253"/>
      <c r="AG10" s="253"/>
      <c r="AH10" s="362">
        <f t="shared" si="11"/>
        <v>0</v>
      </c>
      <c r="AI10" s="362" t="str">
        <f t="shared" si="25"/>
        <v>MATCH</v>
      </c>
      <c r="AJ10" s="254"/>
      <c r="AK10" s="252"/>
      <c r="AL10" s="253"/>
      <c r="AM10" s="253"/>
      <c r="AN10" s="253"/>
      <c r="AO10" s="253"/>
      <c r="AP10" s="253"/>
      <c r="AQ10" s="253"/>
      <c r="AR10" s="254"/>
      <c r="AS10" s="390"/>
      <c r="AT10" s="252"/>
      <c r="AU10" s="253"/>
      <c r="AV10" s="253"/>
      <c r="AW10" s="107"/>
      <c r="AX10" s="253"/>
      <c r="AY10" s="253"/>
      <c r="AZ10" s="253"/>
      <c r="BA10" s="107">
        <f t="shared" si="41"/>
        <v>0</v>
      </c>
      <c r="BB10" s="362">
        <f t="shared" si="13"/>
        <v>0</v>
      </c>
      <c r="BC10" s="362" t="str">
        <f t="shared" si="27"/>
        <v>MATCH</v>
      </c>
      <c r="BD10" s="254"/>
      <c r="BE10" s="391"/>
      <c r="BF10" s="389"/>
      <c r="BG10" s="281" t="e">
        <f t="shared" si="30"/>
        <v>#DIV/0!</v>
      </c>
      <c r="BH10" s="167" t="e">
        <f t="shared" si="43"/>
        <v>#DIV/0!</v>
      </c>
      <c r="BI10" s="255" t="e">
        <f t="shared" si="6"/>
        <v>#DIV/0!</v>
      </c>
      <c r="BJ10" s="167" t="e">
        <f t="shared" ref="BJ10:BJ18" si="46">BD10/BL10</f>
        <v>#DIV/0!</v>
      </c>
      <c r="BK10" s="280" t="e">
        <f t="shared" ref="BK10:BK22" si="47">BD10/BN10</f>
        <v>#DIV/0!</v>
      </c>
      <c r="BL10" s="209">
        <f>'GHG and Energy Use Dec'!Q8</f>
        <v>0</v>
      </c>
      <c r="BM10" s="209">
        <f>'GHG and Energy Use Dec'!R8</f>
        <v>0</v>
      </c>
      <c r="BN10" s="209">
        <f>'GHG and Energy Use Dec'!S8</f>
        <v>0</v>
      </c>
      <c r="BO10" s="112" t="s">
        <v>471</v>
      </c>
      <c r="BP10" s="102" t="s">
        <v>472</v>
      </c>
      <c r="BQ10" s="102" t="s">
        <v>473</v>
      </c>
      <c r="BR10" s="102" t="s">
        <v>474</v>
      </c>
      <c r="BS10" s="102"/>
      <c r="BT10" s="102" t="s">
        <v>463</v>
      </c>
      <c r="BU10" s="102" t="s">
        <v>464</v>
      </c>
      <c r="BV10" s="102" t="s">
        <v>463</v>
      </c>
      <c r="BW10" s="102" t="s">
        <v>466</v>
      </c>
      <c r="BX10" s="102" t="s">
        <v>475</v>
      </c>
      <c r="BY10" s="102" t="s">
        <v>468</v>
      </c>
      <c r="BZ10" s="102" t="s">
        <v>476</v>
      </c>
      <c r="CA10" s="102" t="s">
        <v>470</v>
      </c>
      <c r="CB10" s="286" t="s">
        <v>468</v>
      </c>
    </row>
    <row r="11" spans="1:82" ht="14.25" customHeight="1" x14ac:dyDescent="0.35">
      <c r="A11" s="318" t="s">
        <v>354</v>
      </c>
      <c r="B11" s="174">
        <f t="shared" ref="B11:I11" si="48">B12</f>
        <v>3261610</v>
      </c>
      <c r="C11" s="108">
        <f t="shared" si="48"/>
        <v>959730</v>
      </c>
      <c r="D11" s="108">
        <f t="shared" si="48"/>
        <v>0</v>
      </c>
      <c r="E11" s="108">
        <f t="shared" si="48"/>
        <v>269400</v>
      </c>
      <c r="F11" s="108">
        <f t="shared" si="48"/>
        <v>0</v>
      </c>
      <c r="G11" s="108">
        <f t="shared" si="48"/>
        <v>0</v>
      </c>
      <c r="H11" s="108">
        <f t="shared" si="48"/>
        <v>0</v>
      </c>
      <c r="I11" s="108">
        <f t="shared" si="48"/>
        <v>0</v>
      </c>
      <c r="J11" s="284">
        <f t="shared" si="19"/>
        <v>4490740</v>
      </c>
      <c r="K11" s="284" t="str">
        <f t="shared" si="20"/>
        <v>MATCH</v>
      </c>
      <c r="L11" s="284">
        <f t="shared" ref="L11:AG11" si="49">L12</f>
        <v>4490740</v>
      </c>
      <c r="M11" s="174">
        <f t="shared" si="49"/>
        <v>0</v>
      </c>
      <c r="N11" s="126">
        <f t="shared" si="49"/>
        <v>0</v>
      </c>
      <c r="O11" s="126">
        <f t="shared" si="49"/>
        <v>0</v>
      </c>
      <c r="P11" s="126">
        <f t="shared" si="49"/>
        <v>0</v>
      </c>
      <c r="Q11" s="126">
        <f t="shared" si="49"/>
        <v>0</v>
      </c>
      <c r="R11" s="126">
        <f t="shared" si="49"/>
        <v>0</v>
      </c>
      <c r="S11" s="126">
        <f t="shared" si="49"/>
        <v>0</v>
      </c>
      <c r="T11" s="126">
        <f t="shared" si="49"/>
        <v>0</v>
      </c>
      <c r="U11" s="284">
        <f t="shared" si="45"/>
        <v>0</v>
      </c>
      <c r="V11" s="284" t="str">
        <f t="shared" si="23"/>
        <v>MATCH</v>
      </c>
      <c r="W11" s="383">
        <f t="shared" si="49"/>
        <v>0</v>
      </c>
      <c r="X11" s="383">
        <f t="shared" si="49"/>
        <v>4490740</v>
      </c>
      <c r="Y11" s="384">
        <f t="shared" si="49"/>
        <v>904751</v>
      </c>
      <c r="Z11" s="385">
        <f t="shared" si="49"/>
        <v>42073442</v>
      </c>
      <c r="AA11" s="174">
        <f t="shared" si="49"/>
        <v>695947</v>
      </c>
      <c r="AB11" s="108">
        <f t="shared" si="49"/>
        <v>0</v>
      </c>
      <c r="AC11" s="108">
        <f t="shared" si="49"/>
        <v>879567</v>
      </c>
      <c r="AD11" s="108">
        <f t="shared" si="49"/>
        <v>0</v>
      </c>
      <c r="AE11" s="108">
        <f t="shared" si="49"/>
        <v>0</v>
      </c>
      <c r="AF11" s="108">
        <f t="shared" si="49"/>
        <v>0</v>
      </c>
      <c r="AG11" s="108">
        <f t="shared" si="49"/>
        <v>110056</v>
      </c>
      <c r="AH11" s="284">
        <f t="shared" si="11"/>
        <v>1685570</v>
      </c>
      <c r="AI11" s="284" t="str">
        <f t="shared" si="25"/>
        <v>MATCH</v>
      </c>
      <c r="AJ11" s="111">
        <f t="shared" ref="AJ11:BF11" si="50">AJ12</f>
        <v>1685570</v>
      </c>
      <c r="AK11" s="174">
        <f t="shared" si="50"/>
        <v>0</v>
      </c>
      <c r="AL11" s="108">
        <f t="shared" si="50"/>
        <v>0</v>
      </c>
      <c r="AM11" s="108">
        <f t="shared" si="50"/>
        <v>0</v>
      </c>
      <c r="AN11" s="108">
        <f t="shared" si="50"/>
        <v>0</v>
      </c>
      <c r="AO11" s="108">
        <f t="shared" si="50"/>
        <v>0</v>
      </c>
      <c r="AP11" s="108">
        <f t="shared" si="50"/>
        <v>0</v>
      </c>
      <c r="AQ11" s="108">
        <f t="shared" si="50"/>
        <v>0</v>
      </c>
      <c r="AR11" s="111">
        <f t="shared" si="50"/>
        <v>0</v>
      </c>
      <c r="AS11" s="386">
        <f t="shared" si="4"/>
        <v>1685570</v>
      </c>
      <c r="AT11" s="174">
        <f t="shared" ref="AT11:AZ11" si="51">AT12</f>
        <v>1466868.2099474277</v>
      </c>
      <c r="AU11" s="108">
        <f t="shared" si="51"/>
        <v>69159</v>
      </c>
      <c r="AV11" s="108">
        <f t="shared" si="51"/>
        <v>364070</v>
      </c>
      <c r="AW11" s="108">
        <f t="shared" si="40"/>
        <v>1900097.2099474277</v>
      </c>
      <c r="AX11" s="108">
        <f t="shared" si="51"/>
        <v>0</v>
      </c>
      <c r="AY11" s="108">
        <f t="shared" si="51"/>
        <v>0</v>
      </c>
      <c r="AZ11" s="108">
        <f t="shared" si="51"/>
        <v>0</v>
      </c>
      <c r="BA11" s="108">
        <f t="shared" si="41"/>
        <v>0</v>
      </c>
      <c r="BB11" s="284">
        <f t="shared" si="13"/>
        <v>1900097.2099474277</v>
      </c>
      <c r="BC11" s="284" t="str">
        <f t="shared" si="27"/>
        <v>MATCH</v>
      </c>
      <c r="BD11" s="111">
        <f t="shared" si="50"/>
        <v>1900097.2099474277</v>
      </c>
      <c r="BE11" s="386">
        <f t="shared" si="50"/>
        <v>6217085</v>
      </c>
      <c r="BF11" s="384">
        <f t="shared" si="50"/>
        <v>4979279</v>
      </c>
      <c r="BG11" s="277">
        <f t="shared" si="30"/>
        <v>0.80090251299443393</v>
      </c>
      <c r="BH11" s="250">
        <f t="shared" si="43"/>
        <v>21.57317573130382</v>
      </c>
      <c r="BI11" s="251">
        <f t="shared" si="6"/>
        <v>1.0315233171050384</v>
      </c>
      <c r="BJ11" s="250">
        <f t="shared" si="46"/>
        <v>9.1279234640072566</v>
      </c>
      <c r="BK11" s="278">
        <f t="shared" si="47"/>
        <v>0.43645247260518294</v>
      </c>
      <c r="BL11" s="195">
        <f>BL12</f>
        <v>208163.14</v>
      </c>
      <c r="BM11" s="196">
        <f t="shared" ref="BM11:BN11" si="52">BM12</f>
        <v>0</v>
      </c>
      <c r="BN11" s="197">
        <f t="shared" si="52"/>
        <v>4353503.1399999997</v>
      </c>
      <c r="BO11" s="112"/>
      <c r="BP11" s="102"/>
      <c r="BQ11" s="102"/>
      <c r="BR11" s="102"/>
      <c r="BS11" s="102"/>
      <c r="BT11" s="102"/>
      <c r="BU11" s="102"/>
      <c r="BV11" s="102"/>
      <c r="BW11" s="102"/>
      <c r="BX11" s="102"/>
      <c r="BY11" s="102"/>
      <c r="BZ11" s="102"/>
      <c r="CA11" s="102"/>
      <c r="CB11" s="286"/>
    </row>
    <row r="12" spans="1:82" ht="14.25" customHeight="1" x14ac:dyDescent="0.35">
      <c r="A12" s="319" t="s">
        <v>355</v>
      </c>
      <c r="B12" s="252">
        <f>L12-C12-E12</f>
        <v>3261610</v>
      </c>
      <c r="C12" s="253">
        <f>26037+21735+23693+55554+244447+182040+62964+56493+42823+76212+63129+104603</f>
        <v>959730</v>
      </c>
      <c r="D12" s="253">
        <v>0</v>
      </c>
      <c r="E12" s="253">
        <f>24700+25200+15800+1050+2650+11150+19900+25050+32350+37950+34300+39300</f>
        <v>269400</v>
      </c>
      <c r="F12" s="253"/>
      <c r="G12" s="253"/>
      <c r="H12" s="253"/>
      <c r="I12" s="253"/>
      <c r="J12" s="362">
        <f t="shared" si="19"/>
        <v>4490740</v>
      </c>
      <c r="K12" s="362" t="str">
        <f t="shared" si="20"/>
        <v>MATCH</v>
      </c>
      <c r="L12" s="362">
        <v>4490740</v>
      </c>
      <c r="M12" s="252"/>
      <c r="N12" s="363"/>
      <c r="O12" s="363"/>
      <c r="P12" s="363"/>
      <c r="Q12" s="363"/>
      <c r="R12" s="363"/>
      <c r="S12" s="363"/>
      <c r="T12" s="363"/>
      <c r="U12" s="362">
        <f t="shared" si="45"/>
        <v>0</v>
      </c>
      <c r="V12" s="362" t="str">
        <f t="shared" si="23"/>
        <v>MATCH</v>
      </c>
      <c r="W12" s="387">
        <v>0</v>
      </c>
      <c r="X12" s="387">
        <f>L12+W12</f>
        <v>4490740</v>
      </c>
      <c r="Y12" s="388">
        <v>904751</v>
      </c>
      <c r="Z12" s="389">
        <v>42073442</v>
      </c>
      <c r="AA12" s="252">
        <f>4715+4307+4174+4519+5074+5041+4629+38374+307681+291381+18686+7366</f>
        <v>695947</v>
      </c>
      <c r="AB12" s="253">
        <v>0</v>
      </c>
      <c r="AC12" s="253">
        <f>AJ12-AG12-AA12</f>
        <v>879567</v>
      </c>
      <c r="AD12" s="253"/>
      <c r="AE12" s="253"/>
      <c r="AF12" s="253"/>
      <c r="AG12" s="253">
        <f>8196+7354+8858+7507+5644+10448+9363+11141+10620+9617+10057+11251</f>
        <v>110056</v>
      </c>
      <c r="AH12" s="362">
        <f>SUM(AA12:AG12)</f>
        <v>1685570</v>
      </c>
      <c r="AI12" s="362" t="str">
        <f t="shared" si="25"/>
        <v>MATCH</v>
      </c>
      <c r="AJ12" s="254">
        <v>1685570</v>
      </c>
      <c r="AK12" s="252"/>
      <c r="AL12" s="253"/>
      <c r="AM12" s="253"/>
      <c r="AN12" s="253"/>
      <c r="AO12" s="253"/>
      <c r="AP12" s="253"/>
      <c r="AQ12" s="253"/>
      <c r="AR12" s="254">
        <v>0</v>
      </c>
      <c r="AS12" s="390">
        <f t="shared" si="4"/>
        <v>1685570</v>
      </c>
      <c r="AT12" s="252">
        <v>1466868.2099474277</v>
      </c>
      <c r="AU12" s="253">
        <v>69159</v>
      </c>
      <c r="AV12" s="253">
        <v>364070</v>
      </c>
      <c r="AW12" s="253">
        <f t="shared" si="40"/>
        <v>1900097.2099474277</v>
      </c>
      <c r="AX12" s="253"/>
      <c r="AY12" s="253"/>
      <c r="AZ12" s="253"/>
      <c r="BA12" s="253">
        <f t="shared" si="41"/>
        <v>0</v>
      </c>
      <c r="BB12" s="362">
        <f t="shared" si="13"/>
        <v>1900097.2099474277</v>
      </c>
      <c r="BC12" s="362" t="str">
        <f t="shared" si="27"/>
        <v>MATCH</v>
      </c>
      <c r="BD12" s="254">
        <f>BA12+AW12</f>
        <v>1900097.2099474277</v>
      </c>
      <c r="BE12" s="391">
        <v>6217085</v>
      </c>
      <c r="BF12" s="389">
        <v>4979279</v>
      </c>
      <c r="BG12" s="281">
        <f t="shared" ref="BG12" si="53">BF12/BE12</f>
        <v>0.80090251299443393</v>
      </c>
      <c r="BH12" s="167">
        <f t="shared" si="43"/>
        <v>21.57317573130382</v>
      </c>
      <c r="BI12" s="255">
        <f t="shared" si="6"/>
        <v>1.0315233171050384</v>
      </c>
      <c r="BJ12" s="167">
        <f t="shared" ref="BJ12" si="54">BD12/BL12</f>
        <v>9.1279234640072566</v>
      </c>
      <c r="BK12" s="280">
        <f t="shared" ref="BK12" si="55">BD12/BN12</f>
        <v>0.43645247260518294</v>
      </c>
      <c r="BL12" s="209">
        <f>'GHG and Energy Use Dec'!Q10</f>
        <v>208163.14</v>
      </c>
      <c r="BM12" s="209">
        <f>'GHG and Energy Use Dec'!R10</f>
        <v>0</v>
      </c>
      <c r="BN12" s="209">
        <f>'GHG and Energy Use Dec'!S10</f>
        <v>4353503.1399999997</v>
      </c>
      <c r="BO12" s="112" t="s">
        <v>477</v>
      </c>
      <c r="BP12" s="102" t="s">
        <v>478</v>
      </c>
      <c r="BQ12" s="102" t="s">
        <v>479</v>
      </c>
      <c r="BR12" s="102" t="s">
        <v>474</v>
      </c>
      <c r="BS12" s="102" t="s">
        <v>480</v>
      </c>
      <c r="BT12" s="102" t="s">
        <v>463</v>
      </c>
      <c r="BU12" s="102" t="s">
        <v>464</v>
      </c>
      <c r="BV12" s="102" t="s">
        <v>465</v>
      </c>
      <c r="BW12" s="102" t="s">
        <v>475</v>
      </c>
      <c r="BX12" s="102" t="s">
        <v>467</v>
      </c>
      <c r="BY12" s="102" t="s">
        <v>468</v>
      </c>
      <c r="BZ12" s="102" t="s">
        <v>481</v>
      </c>
      <c r="CA12" s="102" t="s">
        <v>470</v>
      </c>
      <c r="CB12" s="286" t="s">
        <v>468</v>
      </c>
    </row>
    <row r="13" spans="1:82" ht="14.25" customHeight="1" x14ac:dyDescent="0.35">
      <c r="A13" s="318" t="s">
        <v>356</v>
      </c>
      <c r="B13" s="174">
        <f t="shared" ref="B13:I13" si="56">B14</f>
        <v>11823434</v>
      </c>
      <c r="C13" s="108">
        <f t="shared" si="56"/>
        <v>2577315</v>
      </c>
      <c r="D13" s="108">
        <f t="shared" si="56"/>
        <v>0</v>
      </c>
      <c r="E13" s="108">
        <f>E14</f>
        <v>590152</v>
      </c>
      <c r="F13" s="108">
        <f t="shared" si="56"/>
        <v>239562</v>
      </c>
      <c r="G13" s="108">
        <f t="shared" si="56"/>
        <v>0</v>
      </c>
      <c r="H13" s="108">
        <f t="shared" si="56"/>
        <v>0</v>
      </c>
      <c r="I13" s="108">
        <f t="shared" si="56"/>
        <v>0</v>
      </c>
      <c r="J13" s="284">
        <f t="shared" si="19"/>
        <v>15230463</v>
      </c>
      <c r="K13" s="284" t="str">
        <f t="shared" si="20"/>
        <v>MATCH</v>
      </c>
      <c r="L13" s="284">
        <f t="shared" ref="L13:BF13" si="57">L14</f>
        <v>15230462.869999999</v>
      </c>
      <c r="M13" s="174">
        <f t="shared" si="57"/>
        <v>0</v>
      </c>
      <c r="N13" s="126">
        <f t="shared" si="57"/>
        <v>0</v>
      </c>
      <c r="O13" s="126">
        <f t="shared" si="57"/>
        <v>0</v>
      </c>
      <c r="P13" s="126">
        <f t="shared" si="57"/>
        <v>0</v>
      </c>
      <c r="Q13" s="126">
        <f t="shared" si="57"/>
        <v>0</v>
      </c>
      <c r="R13" s="126">
        <f t="shared" si="57"/>
        <v>0</v>
      </c>
      <c r="S13" s="126">
        <f t="shared" si="57"/>
        <v>0</v>
      </c>
      <c r="T13" s="126">
        <f t="shared" si="57"/>
        <v>0</v>
      </c>
      <c r="U13" s="284">
        <f t="shared" si="45"/>
        <v>0</v>
      </c>
      <c r="V13" s="284" t="str">
        <f t="shared" si="23"/>
        <v>MATCH</v>
      </c>
      <c r="W13" s="383">
        <f t="shared" si="57"/>
        <v>0</v>
      </c>
      <c r="X13" s="383">
        <f t="shared" si="57"/>
        <v>15230462.869999999</v>
      </c>
      <c r="Y13" s="384">
        <f t="shared" si="57"/>
        <v>-644023.98</v>
      </c>
      <c r="Z13" s="385">
        <f t="shared" si="57"/>
        <v>31364763.629999999</v>
      </c>
      <c r="AA13" s="174">
        <f t="shared" si="57"/>
        <v>13027304.449999999</v>
      </c>
      <c r="AB13" s="108">
        <f t="shared" si="57"/>
        <v>0</v>
      </c>
      <c r="AC13" s="108">
        <f t="shared" si="57"/>
        <v>1115484</v>
      </c>
      <c r="AD13" s="108">
        <f t="shared" si="57"/>
        <v>0</v>
      </c>
      <c r="AE13" s="108">
        <f t="shared" si="57"/>
        <v>0</v>
      </c>
      <c r="AF13" s="108">
        <f t="shared" si="57"/>
        <v>0</v>
      </c>
      <c r="AG13" s="108">
        <f t="shared" si="57"/>
        <v>0</v>
      </c>
      <c r="AH13" s="284">
        <f t="shared" si="11"/>
        <v>14142788.449999999</v>
      </c>
      <c r="AI13" s="284" t="str">
        <f t="shared" si="25"/>
        <v>MATCH</v>
      </c>
      <c r="AJ13" s="111">
        <f t="shared" si="57"/>
        <v>14142788.449999999</v>
      </c>
      <c r="AK13" s="174">
        <f t="shared" si="57"/>
        <v>0</v>
      </c>
      <c r="AL13" s="108">
        <f t="shared" si="57"/>
        <v>0</v>
      </c>
      <c r="AM13" s="108">
        <f t="shared" si="57"/>
        <v>0</v>
      </c>
      <c r="AN13" s="108">
        <f t="shared" si="57"/>
        <v>0</v>
      </c>
      <c r="AO13" s="108">
        <f t="shared" si="57"/>
        <v>0</v>
      </c>
      <c r="AP13" s="108">
        <f t="shared" si="57"/>
        <v>0</v>
      </c>
      <c r="AQ13" s="108">
        <f t="shared" si="57"/>
        <v>0</v>
      </c>
      <c r="AR13" s="111">
        <f t="shared" si="57"/>
        <v>0</v>
      </c>
      <c r="AS13" s="386">
        <f t="shared" si="4"/>
        <v>14142788.449999999</v>
      </c>
      <c r="AT13" s="174">
        <f t="shared" ref="AT13:AZ13" si="58">AT14</f>
        <v>1797957.08</v>
      </c>
      <c r="AU13" s="108">
        <f t="shared" si="58"/>
        <v>102962.64</v>
      </c>
      <c r="AV13" s="108">
        <f t="shared" si="58"/>
        <v>490189.88</v>
      </c>
      <c r="AW13" s="108">
        <f t="shared" si="40"/>
        <v>2391109.6</v>
      </c>
      <c r="AX13" s="108">
        <f t="shared" si="58"/>
        <v>0</v>
      </c>
      <c r="AY13" s="108">
        <f t="shared" si="58"/>
        <v>0</v>
      </c>
      <c r="AZ13" s="108">
        <f t="shared" si="58"/>
        <v>0</v>
      </c>
      <c r="BA13" s="108">
        <f t="shared" si="41"/>
        <v>0</v>
      </c>
      <c r="BB13" s="284">
        <f t="shared" si="13"/>
        <v>2391109.6</v>
      </c>
      <c r="BC13" s="284" t="str">
        <f t="shared" si="27"/>
        <v>MATCH</v>
      </c>
      <c r="BD13" s="111">
        <f t="shared" si="57"/>
        <v>2391109.6</v>
      </c>
      <c r="BE13" s="383">
        <f t="shared" si="57"/>
        <v>31366061.190000001</v>
      </c>
      <c r="BF13" s="384">
        <f t="shared" si="57"/>
        <v>24662731</v>
      </c>
      <c r="BG13" s="277">
        <f>BF13/BE13</f>
        <v>0.78628715446945796</v>
      </c>
      <c r="BH13" s="250">
        <f t="shared" si="43"/>
        <v>18.659066303215926</v>
      </c>
      <c r="BI13" s="251">
        <f t="shared" si="6"/>
        <v>2.0939590498675282</v>
      </c>
      <c r="BJ13" s="250">
        <f t="shared" si="46"/>
        <v>2.9293838897396633</v>
      </c>
      <c r="BK13" s="278">
        <f t="shared" si="47"/>
        <v>0.32874152472459467</v>
      </c>
      <c r="BL13" s="195">
        <f>BL14</f>
        <v>816250</v>
      </c>
      <c r="BM13" s="196">
        <f t="shared" ref="BM13:BN13" si="59">BM14</f>
        <v>0</v>
      </c>
      <c r="BN13" s="197">
        <f t="shared" si="59"/>
        <v>7273524.7000000002</v>
      </c>
      <c r="BO13" s="112"/>
      <c r="BP13" s="102"/>
      <c r="BQ13" s="102"/>
      <c r="BR13" s="102"/>
      <c r="BS13" s="102"/>
      <c r="BT13" s="102"/>
      <c r="BU13" s="102"/>
      <c r="BV13" s="102"/>
      <c r="BW13" s="102"/>
      <c r="BX13" s="102"/>
      <c r="BY13" s="102"/>
      <c r="BZ13" s="102"/>
      <c r="CA13" s="102"/>
      <c r="CB13" s="286"/>
    </row>
    <row r="14" spans="1:82" ht="14.25" customHeight="1" x14ac:dyDescent="0.35">
      <c r="A14" s="319" t="s">
        <v>357</v>
      </c>
      <c r="B14" s="252">
        <f>136413+60275+794033+1427184+1089633+1262380+1740756+1381974+1654382+1109566+1166838</f>
        <v>11823434</v>
      </c>
      <c r="C14" s="253">
        <f>178981+117731+117838+117838+159973+143994+160707+199045+229255+452106+387141+(357706)-45000</f>
        <v>2577315</v>
      </c>
      <c r="D14" s="253">
        <v>0</v>
      </c>
      <c r="E14" s="253">
        <f>36521+42160+31155+46882+58759+52104+62890+55545+48104+48104+60021+(61228)-13321</f>
        <v>590152</v>
      </c>
      <c r="F14" s="253">
        <f>19899+30310+30099+23583+12077+15220+23362+25276+19454+22364+13906+(14012)-10000</f>
        <v>239562</v>
      </c>
      <c r="G14" s="253">
        <v>0</v>
      </c>
      <c r="H14" s="253"/>
      <c r="I14" s="253"/>
      <c r="J14" s="362">
        <f t="shared" si="19"/>
        <v>15230463</v>
      </c>
      <c r="K14" s="362" t="str">
        <f t="shared" si="20"/>
        <v>MATCH</v>
      </c>
      <c r="L14" s="362">
        <v>15230462.869999999</v>
      </c>
      <c r="M14" s="252"/>
      <c r="N14" s="363"/>
      <c r="O14" s="363"/>
      <c r="P14" s="363"/>
      <c r="Q14" s="363"/>
      <c r="R14" s="363"/>
      <c r="S14" s="363"/>
      <c r="T14" s="363"/>
      <c r="U14" s="362">
        <f t="shared" si="45"/>
        <v>0</v>
      </c>
      <c r="V14" s="362" t="str">
        <f t="shared" si="23"/>
        <v>MATCH</v>
      </c>
      <c r="W14" s="387">
        <v>0</v>
      </c>
      <c r="X14" s="387">
        <f>L14+W14</f>
        <v>15230462.869999999</v>
      </c>
      <c r="Y14" s="388">
        <v>-644023.98</v>
      </c>
      <c r="Z14" s="389">
        <v>31364763.629999999</v>
      </c>
      <c r="AA14" s="252">
        <f>AJ14-AC14</f>
        <v>13027304.449999999</v>
      </c>
      <c r="AB14" s="253">
        <v>0</v>
      </c>
      <c r="AC14" s="253">
        <f>92957*12</f>
        <v>1115484</v>
      </c>
      <c r="AD14" s="253"/>
      <c r="AE14" s="253"/>
      <c r="AF14" s="253"/>
      <c r="AG14" s="253"/>
      <c r="AH14" s="362">
        <f t="shared" si="11"/>
        <v>14142788.449999999</v>
      </c>
      <c r="AI14" s="362" t="str">
        <f>IF(ROUND(AH14,0)=ROUND(AJ14,0),"MATCH","FIX NEEDED")</f>
        <v>MATCH</v>
      </c>
      <c r="AJ14" s="254">
        <v>14142788.449999999</v>
      </c>
      <c r="AK14" s="252"/>
      <c r="AL14" s="253"/>
      <c r="AM14" s="253"/>
      <c r="AN14" s="253"/>
      <c r="AO14" s="253"/>
      <c r="AP14" s="253"/>
      <c r="AQ14" s="253"/>
      <c r="AR14" s="254">
        <v>0</v>
      </c>
      <c r="AS14" s="390">
        <f t="shared" si="4"/>
        <v>14142788.449999999</v>
      </c>
      <c r="AT14" s="252">
        <v>1797957.08</v>
      </c>
      <c r="AU14" s="253">
        <v>102962.64</v>
      </c>
      <c r="AV14" s="253">
        <v>490189.88</v>
      </c>
      <c r="AW14" s="253">
        <f t="shared" si="40"/>
        <v>2391109.6</v>
      </c>
      <c r="AX14" s="253"/>
      <c r="AY14" s="253"/>
      <c r="AZ14" s="253"/>
      <c r="BA14" s="253">
        <f t="shared" si="41"/>
        <v>0</v>
      </c>
      <c r="BB14" s="362">
        <f t="shared" si="13"/>
        <v>2391109.6</v>
      </c>
      <c r="BC14" s="362" t="str">
        <f t="shared" si="27"/>
        <v>MATCH</v>
      </c>
      <c r="BD14" s="254">
        <f>BA14+AW14</f>
        <v>2391109.6</v>
      </c>
      <c r="BE14" s="391">
        <v>31366061.190000001</v>
      </c>
      <c r="BF14" s="389">
        <v>24662731</v>
      </c>
      <c r="BG14" s="281">
        <f t="shared" ref="BG14" si="60">BF14/BE14</f>
        <v>0.78628715446945796</v>
      </c>
      <c r="BH14" s="167">
        <f t="shared" si="43"/>
        <v>18.659066303215926</v>
      </c>
      <c r="BI14" s="255">
        <f t="shared" si="6"/>
        <v>2.0939590498675282</v>
      </c>
      <c r="BJ14" s="167">
        <f t="shared" si="46"/>
        <v>2.9293838897396633</v>
      </c>
      <c r="BK14" s="280">
        <f t="shared" si="47"/>
        <v>0.32874152472459467</v>
      </c>
      <c r="BL14" s="209">
        <f>'GHG and Energy Use Dec'!Q12</f>
        <v>816250</v>
      </c>
      <c r="BM14" s="209">
        <f>'GHG and Energy Use Dec'!R12</f>
        <v>0</v>
      </c>
      <c r="BN14" s="209">
        <f>'GHG and Energy Use Dec'!S12</f>
        <v>7273524.7000000002</v>
      </c>
      <c r="BO14" s="112" t="s">
        <v>482</v>
      </c>
      <c r="BP14" s="102" t="s">
        <v>483</v>
      </c>
      <c r="BQ14" s="102" t="s">
        <v>484</v>
      </c>
      <c r="BR14" s="102" t="s">
        <v>461</v>
      </c>
      <c r="BS14" s="102"/>
      <c r="BT14" s="102" t="s">
        <v>485</v>
      </c>
      <c r="BU14" s="102" t="s">
        <v>464</v>
      </c>
      <c r="BV14" s="102" t="s">
        <v>465</v>
      </c>
      <c r="BW14" s="102" t="s">
        <v>466</v>
      </c>
      <c r="BX14" s="102"/>
      <c r="BY14" s="102" t="s">
        <v>468</v>
      </c>
      <c r="BZ14" s="102" t="s">
        <v>476</v>
      </c>
      <c r="CA14" s="102" t="s">
        <v>486</v>
      </c>
      <c r="CB14" s="286"/>
    </row>
    <row r="15" spans="1:82" ht="14.25" customHeight="1" x14ac:dyDescent="0.35">
      <c r="A15" s="318" t="s">
        <v>358</v>
      </c>
      <c r="B15" s="174">
        <f t="shared" ref="B15:I15" si="61">B16</f>
        <v>0</v>
      </c>
      <c r="C15" s="108">
        <f t="shared" si="61"/>
        <v>0</v>
      </c>
      <c r="D15" s="108">
        <f t="shared" si="61"/>
        <v>0</v>
      </c>
      <c r="E15" s="108">
        <f t="shared" si="61"/>
        <v>0</v>
      </c>
      <c r="F15" s="108">
        <f t="shared" si="61"/>
        <v>0</v>
      </c>
      <c r="G15" s="108">
        <f t="shared" si="61"/>
        <v>0</v>
      </c>
      <c r="H15" s="108">
        <f t="shared" si="61"/>
        <v>88438</v>
      </c>
      <c r="I15" s="108">
        <f t="shared" si="61"/>
        <v>0</v>
      </c>
      <c r="J15" s="284">
        <f t="shared" si="19"/>
        <v>88438</v>
      </c>
      <c r="K15" s="284" t="str">
        <f t="shared" si="20"/>
        <v>MATCH</v>
      </c>
      <c r="L15" s="284">
        <f t="shared" ref="L15:BF15" si="62">L16</f>
        <v>88438</v>
      </c>
      <c r="M15" s="174">
        <f t="shared" si="62"/>
        <v>0</v>
      </c>
      <c r="N15" s="126">
        <f t="shared" si="62"/>
        <v>0</v>
      </c>
      <c r="O15" s="126">
        <f t="shared" si="62"/>
        <v>0</v>
      </c>
      <c r="P15" s="126">
        <f t="shared" si="62"/>
        <v>0</v>
      </c>
      <c r="Q15" s="126">
        <f t="shared" si="62"/>
        <v>0</v>
      </c>
      <c r="R15" s="126">
        <f t="shared" si="62"/>
        <v>0</v>
      </c>
      <c r="S15" s="126">
        <f t="shared" si="62"/>
        <v>1170048</v>
      </c>
      <c r="T15" s="126">
        <f t="shared" si="62"/>
        <v>0</v>
      </c>
      <c r="U15" s="284">
        <f t="shared" si="45"/>
        <v>1170048</v>
      </c>
      <c r="V15" s="284" t="str">
        <f t="shared" si="23"/>
        <v>MATCH</v>
      </c>
      <c r="W15" s="383">
        <f t="shared" si="62"/>
        <v>1170048</v>
      </c>
      <c r="X15" s="383">
        <f t="shared" si="62"/>
        <v>1258486</v>
      </c>
      <c r="Y15" s="384">
        <f t="shared" si="62"/>
        <v>81723</v>
      </c>
      <c r="Z15" s="385">
        <f t="shared" si="62"/>
        <v>0</v>
      </c>
      <c r="AA15" s="174">
        <f t="shared" si="62"/>
        <v>0</v>
      </c>
      <c r="AB15" s="108">
        <f t="shared" si="62"/>
        <v>0</v>
      </c>
      <c r="AC15" s="108">
        <f t="shared" si="62"/>
        <v>0</v>
      </c>
      <c r="AD15" s="108">
        <f t="shared" si="62"/>
        <v>0</v>
      </c>
      <c r="AE15" s="108">
        <f t="shared" si="62"/>
        <v>0</v>
      </c>
      <c r="AF15" s="108">
        <f t="shared" si="62"/>
        <v>0</v>
      </c>
      <c r="AG15" s="108">
        <f t="shared" si="62"/>
        <v>0</v>
      </c>
      <c r="AH15" s="284">
        <f t="shared" si="11"/>
        <v>0</v>
      </c>
      <c r="AI15" s="284" t="str">
        <f t="shared" si="25"/>
        <v>MATCH</v>
      </c>
      <c r="AJ15" s="111">
        <f t="shared" si="62"/>
        <v>0</v>
      </c>
      <c r="AK15" s="174">
        <f t="shared" si="62"/>
        <v>0</v>
      </c>
      <c r="AL15" s="108">
        <f t="shared" si="62"/>
        <v>0</v>
      </c>
      <c r="AM15" s="108">
        <f t="shared" si="62"/>
        <v>0</v>
      </c>
      <c r="AN15" s="108">
        <f t="shared" si="62"/>
        <v>0</v>
      </c>
      <c r="AO15" s="108">
        <f t="shared" si="62"/>
        <v>0</v>
      </c>
      <c r="AP15" s="108">
        <f t="shared" si="62"/>
        <v>0</v>
      </c>
      <c r="AQ15" s="108">
        <f t="shared" si="62"/>
        <v>14821.6</v>
      </c>
      <c r="AR15" s="111">
        <f t="shared" si="62"/>
        <v>14821.6</v>
      </c>
      <c r="AS15" s="386">
        <f t="shared" si="4"/>
        <v>14821.6</v>
      </c>
      <c r="AT15" s="174">
        <f t="shared" ref="AT15:AZ15" si="63">AT16</f>
        <v>0</v>
      </c>
      <c r="AU15" s="108">
        <f t="shared" si="63"/>
        <v>0</v>
      </c>
      <c r="AV15" s="108">
        <f t="shared" si="63"/>
        <v>0</v>
      </c>
      <c r="AW15" s="108">
        <f t="shared" si="40"/>
        <v>0</v>
      </c>
      <c r="AX15" s="108">
        <f t="shared" si="63"/>
        <v>109738</v>
      </c>
      <c r="AY15" s="108">
        <f t="shared" si="63"/>
        <v>1055838</v>
      </c>
      <c r="AZ15" s="108">
        <f t="shared" si="63"/>
        <v>0</v>
      </c>
      <c r="BA15" s="108">
        <f t="shared" si="41"/>
        <v>1165576</v>
      </c>
      <c r="BB15" s="284">
        <f t="shared" si="13"/>
        <v>1165576</v>
      </c>
      <c r="BC15" s="284" t="str">
        <f t="shared" si="27"/>
        <v>MATCH</v>
      </c>
      <c r="BD15" s="111">
        <f t="shared" si="62"/>
        <v>1165576</v>
      </c>
      <c r="BE15" s="386">
        <f t="shared" si="62"/>
        <v>7178931.5</v>
      </c>
      <c r="BF15" s="384">
        <f t="shared" si="62"/>
        <v>5964370.1299999999</v>
      </c>
      <c r="BG15" s="277">
        <f>BF15/BE15</f>
        <v>0.83081585748519815</v>
      </c>
      <c r="BH15" s="405">
        <f>BH16</f>
        <v>8.3210645029780501</v>
      </c>
      <c r="BI15" s="251">
        <f t="shared" si="6"/>
        <v>0.44443353605284247</v>
      </c>
      <c r="BJ15" s="405">
        <f>BJ16</f>
        <v>7.7067468999441724</v>
      </c>
      <c r="BK15" s="278">
        <f t="shared" si="47"/>
        <v>0.41162242823386824</v>
      </c>
      <c r="BL15" s="195">
        <f>BL16</f>
        <v>0</v>
      </c>
      <c r="BM15" s="196">
        <f t="shared" ref="BM15:BN15" si="64">BM16</f>
        <v>151240986</v>
      </c>
      <c r="BN15" s="197">
        <f t="shared" si="64"/>
        <v>2831663</v>
      </c>
      <c r="BO15" s="112"/>
      <c r="BP15" s="102"/>
      <c r="BQ15" s="102"/>
      <c r="BR15" s="102"/>
      <c r="BS15" s="102"/>
      <c r="BT15" s="102"/>
      <c r="BU15" s="102"/>
      <c r="BV15" s="102"/>
      <c r="BW15" s="102"/>
      <c r="BX15" s="102"/>
      <c r="BY15" s="102"/>
      <c r="BZ15" s="102"/>
      <c r="CA15" s="102"/>
      <c r="CB15" s="286"/>
    </row>
    <row r="16" spans="1:82" ht="14.25" customHeight="1" x14ac:dyDescent="0.35">
      <c r="A16" s="319" t="s">
        <v>487</v>
      </c>
      <c r="B16" s="252"/>
      <c r="C16" s="253"/>
      <c r="D16" s="253"/>
      <c r="E16" s="253"/>
      <c r="F16" s="253"/>
      <c r="G16" s="253"/>
      <c r="H16" s="253">
        <f>L16</f>
        <v>88438</v>
      </c>
      <c r="I16" s="253"/>
      <c r="J16" s="362">
        <f t="shared" si="19"/>
        <v>88438</v>
      </c>
      <c r="K16" s="362" t="str">
        <f t="shared" si="20"/>
        <v>MATCH</v>
      </c>
      <c r="L16" s="362">
        <v>88438</v>
      </c>
      <c r="M16" s="252"/>
      <c r="N16" s="363"/>
      <c r="O16" s="363"/>
      <c r="P16" s="363"/>
      <c r="Q16" s="363"/>
      <c r="R16" s="363"/>
      <c r="S16" s="363">
        <f>W16</f>
        <v>1170048</v>
      </c>
      <c r="T16" s="363"/>
      <c r="U16" s="362">
        <f t="shared" si="45"/>
        <v>1170048</v>
      </c>
      <c r="V16" s="362" t="str">
        <f t="shared" si="23"/>
        <v>MATCH</v>
      </c>
      <c r="W16" s="387">
        <v>1170048</v>
      </c>
      <c r="X16" s="387">
        <f>L16+W16</f>
        <v>1258486</v>
      </c>
      <c r="Y16" s="388">
        <v>81723</v>
      </c>
      <c r="Z16" s="389">
        <v>0</v>
      </c>
      <c r="AA16" s="252"/>
      <c r="AB16" s="253"/>
      <c r="AC16" s="253"/>
      <c r="AD16" s="253"/>
      <c r="AE16" s="253"/>
      <c r="AF16" s="253"/>
      <c r="AG16" s="253"/>
      <c r="AH16" s="362">
        <f t="shared" si="11"/>
        <v>0</v>
      </c>
      <c r="AI16" s="362" t="str">
        <f t="shared" si="25"/>
        <v>MATCH</v>
      </c>
      <c r="AJ16" s="254">
        <v>0</v>
      </c>
      <c r="AK16" s="252"/>
      <c r="AL16" s="253">
        <v>0</v>
      </c>
      <c r="AM16" s="253"/>
      <c r="AN16" s="253"/>
      <c r="AO16" s="253"/>
      <c r="AP16" s="253"/>
      <c r="AQ16" s="253">
        <f>AS16</f>
        <v>14821.6</v>
      </c>
      <c r="AR16" s="254">
        <v>14821.6</v>
      </c>
      <c r="AS16" s="390">
        <f t="shared" si="4"/>
        <v>14821.6</v>
      </c>
      <c r="AT16" s="252">
        <v>0</v>
      </c>
      <c r="AU16" s="253">
        <v>0</v>
      </c>
      <c r="AV16" s="253">
        <v>0</v>
      </c>
      <c r="AW16" s="253">
        <f t="shared" si="40"/>
        <v>0</v>
      </c>
      <c r="AX16" s="253">
        <v>109738</v>
      </c>
      <c r="AY16" s="253">
        <v>1055838</v>
      </c>
      <c r="AZ16" s="253">
        <v>0</v>
      </c>
      <c r="BA16" s="253">
        <f t="shared" si="41"/>
        <v>1165576</v>
      </c>
      <c r="BB16" s="362">
        <f t="shared" si="13"/>
        <v>1165576</v>
      </c>
      <c r="BC16" s="362" t="str">
        <f t="shared" si="27"/>
        <v>MATCH</v>
      </c>
      <c r="BD16" s="254">
        <f>BA16+AW16</f>
        <v>1165576</v>
      </c>
      <c r="BE16" s="391">
        <v>7178931.5</v>
      </c>
      <c r="BF16" s="389">
        <v>5964370.1299999999</v>
      </c>
      <c r="BG16" s="281">
        <f t="shared" ref="BG16" si="65">BF16/BE16</f>
        <v>0.83081585748519815</v>
      </c>
      <c r="BH16" s="408">
        <f>(X16/BM16)*1000</f>
        <v>8.3210645029780501</v>
      </c>
      <c r="BI16" s="255">
        <f t="shared" si="6"/>
        <v>0.44443353605284247</v>
      </c>
      <c r="BJ16" s="408">
        <f>(BD16/BM16)*1000</f>
        <v>7.7067468999441724</v>
      </c>
      <c r="BK16" s="280">
        <f t="shared" ref="BK16" si="66">BD16/BN16</f>
        <v>0.41162242823386824</v>
      </c>
      <c r="BL16" s="209">
        <f>'GHG and Energy Use Dec'!Q14</f>
        <v>0</v>
      </c>
      <c r="BM16" s="209">
        <f>'GHG and Energy Use Dec'!R14</f>
        <v>151240986</v>
      </c>
      <c r="BN16" s="209">
        <f>'GHG and Energy Use Dec'!S14</f>
        <v>2831663</v>
      </c>
      <c r="BO16" s="112" t="s">
        <v>488</v>
      </c>
      <c r="BP16" s="102" t="s">
        <v>489</v>
      </c>
      <c r="BQ16" s="102" t="s">
        <v>460</v>
      </c>
      <c r="BR16" s="102" t="s">
        <v>490</v>
      </c>
      <c r="BS16" s="102" t="s">
        <v>480</v>
      </c>
      <c r="BT16" s="102" t="s">
        <v>491</v>
      </c>
      <c r="BU16" s="102" t="s">
        <v>464</v>
      </c>
      <c r="BV16" s="102" t="s">
        <v>463</v>
      </c>
      <c r="BW16" s="102" t="s">
        <v>466</v>
      </c>
      <c r="BX16" s="102" t="s">
        <v>475</v>
      </c>
      <c r="BY16" s="102" t="s">
        <v>468</v>
      </c>
      <c r="BZ16" s="102" t="s">
        <v>469</v>
      </c>
      <c r="CA16" s="102" t="s">
        <v>470</v>
      </c>
      <c r="CB16" s="286"/>
    </row>
    <row r="17" spans="1:82" ht="14.25" customHeight="1" x14ac:dyDescent="0.35">
      <c r="A17" s="318" t="s">
        <v>360</v>
      </c>
      <c r="B17" s="174">
        <f t="shared" ref="B17:I17" si="67">SUM(B18:B20)</f>
        <v>25509771</v>
      </c>
      <c r="C17" s="108">
        <f t="shared" si="67"/>
        <v>0</v>
      </c>
      <c r="D17" s="108">
        <f t="shared" si="67"/>
        <v>762445</v>
      </c>
      <c r="E17" s="108">
        <f>SUM(E18:E20)</f>
        <v>398976</v>
      </c>
      <c r="F17" s="108">
        <f t="shared" si="67"/>
        <v>317562</v>
      </c>
      <c r="G17" s="108">
        <f t="shared" si="67"/>
        <v>0</v>
      </c>
      <c r="H17" s="108">
        <f t="shared" si="67"/>
        <v>16196</v>
      </c>
      <c r="I17" s="108">
        <f t="shared" si="67"/>
        <v>7238</v>
      </c>
      <c r="J17" s="284">
        <f t="shared" si="19"/>
        <v>27012188</v>
      </c>
      <c r="K17" s="284" t="str">
        <f t="shared" si="20"/>
        <v>MATCH</v>
      </c>
      <c r="L17" s="284">
        <f t="shared" ref="L17:BF17" si="68">SUM(L18:L20)</f>
        <v>27012187.98</v>
      </c>
      <c r="M17" s="174">
        <f t="shared" ref="M17:T17" si="69">SUM(M18:M20)</f>
        <v>0</v>
      </c>
      <c r="N17" s="126">
        <f t="shared" si="69"/>
        <v>0</v>
      </c>
      <c r="O17" s="126">
        <f t="shared" si="69"/>
        <v>256120</v>
      </c>
      <c r="P17" s="126">
        <f t="shared" si="69"/>
        <v>0</v>
      </c>
      <c r="Q17" s="126">
        <f t="shared" si="69"/>
        <v>0</v>
      </c>
      <c r="R17" s="126">
        <f t="shared" si="69"/>
        <v>0</v>
      </c>
      <c r="S17" s="126">
        <f t="shared" si="69"/>
        <v>0</v>
      </c>
      <c r="T17" s="126">
        <f t="shared" si="69"/>
        <v>0</v>
      </c>
      <c r="U17" s="284">
        <f t="shared" si="45"/>
        <v>256120</v>
      </c>
      <c r="V17" s="284" t="str">
        <f t="shared" si="23"/>
        <v>MATCH</v>
      </c>
      <c r="W17" s="383">
        <f t="shared" si="68"/>
        <v>256120</v>
      </c>
      <c r="X17" s="383">
        <f>SUM(X18:X20)</f>
        <v>27268307.98</v>
      </c>
      <c r="Y17" s="384">
        <f t="shared" si="68"/>
        <v>7091341</v>
      </c>
      <c r="Z17" s="385">
        <f t="shared" si="68"/>
        <v>20851159.98</v>
      </c>
      <c r="AA17" s="174">
        <f t="shared" ref="AA17:AG17" si="70">SUM(AA18:AA20)</f>
        <v>14755429</v>
      </c>
      <c r="AB17" s="108">
        <f t="shared" si="70"/>
        <v>0</v>
      </c>
      <c r="AC17" s="108">
        <f t="shared" si="70"/>
        <v>0</v>
      </c>
      <c r="AD17" s="108">
        <f t="shared" si="70"/>
        <v>0</v>
      </c>
      <c r="AE17" s="108">
        <f t="shared" si="70"/>
        <v>0</v>
      </c>
      <c r="AF17" s="108">
        <f t="shared" si="70"/>
        <v>0</v>
      </c>
      <c r="AG17" s="108">
        <f t="shared" si="70"/>
        <v>0</v>
      </c>
      <c r="AH17" s="284">
        <f t="shared" si="11"/>
        <v>14755429</v>
      </c>
      <c r="AI17" s="284" t="str">
        <f t="shared" si="25"/>
        <v>MATCH</v>
      </c>
      <c r="AJ17" s="111">
        <f t="shared" si="68"/>
        <v>14755429</v>
      </c>
      <c r="AK17" s="174">
        <f t="shared" ref="AK17:AQ17" si="71">SUM(AK18:AK20)</f>
        <v>0</v>
      </c>
      <c r="AL17" s="108">
        <f t="shared" si="71"/>
        <v>0</v>
      </c>
      <c r="AM17" s="108">
        <f t="shared" si="71"/>
        <v>331894</v>
      </c>
      <c r="AN17" s="108">
        <f t="shared" si="71"/>
        <v>0</v>
      </c>
      <c r="AO17" s="108">
        <f t="shared" si="71"/>
        <v>0</v>
      </c>
      <c r="AP17" s="108">
        <f t="shared" si="71"/>
        <v>0</v>
      </c>
      <c r="AQ17" s="108">
        <f t="shared" si="71"/>
        <v>0</v>
      </c>
      <c r="AR17" s="111">
        <f t="shared" si="68"/>
        <v>331894</v>
      </c>
      <c r="AS17" s="386">
        <f t="shared" si="4"/>
        <v>15087323</v>
      </c>
      <c r="AT17" s="174">
        <f t="shared" ref="AT17:AZ17" si="72">SUM(AT18:AT20)</f>
        <v>6602549.7799999993</v>
      </c>
      <c r="AU17" s="108">
        <f t="shared" si="72"/>
        <v>410170</v>
      </c>
      <c r="AV17" s="108">
        <f t="shared" si="72"/>
        <v>568403</v>
      </c>
      <c r="AW17" s="108">
        <f t="shared" si="40"/>
        <v>7581122.7799999993</v>
      </c>
      <c r="AX17" s="108">
        <f t="shared" si="72"/>
        <v>0</v>
      </c>
      <c r="AY17" s="108">
        <f t="shared" si="72"/>
        <v>0</v>
      </c>
      <c r="AZ17" s="108">
        <f t="shared" si="72"/>
        <v>0</v>
      </c>
      <c r="BA17" s="108">
        <f t="shared" si="41"/>
        <v>0</v>
      </c>
      <c r="BB17" s="284">
        <f t="shared" si="13"/>
        <v>7581122.7799999993</v>
      </c>
      <c r="BC17" s="284" t="str">
        <f t="shared" si="27"/>
        <v>MATCH</v>
      </c>
      <c r="BD17" s="111">
        <f t="shared" si="68"/>
        <v>7581122.7799999993</v>
      </c>
      <c r="BE17" s="386">
        <f t="shared" si="68"/>
        <v>11652994.5</v>
      </c>
      <c r="BF17" s="384">
        <f t="shared" si="68"/>
        <v>7946701.5</v>
      </c>
      <c r="BG17" s="277">
        <f t="shared" si="30"/>
        <v>0.68194501421930642</v>
      </c>
      <c r="BH17" s="250">
        <f t="shared" si="43"/>
        <v>48.112308365007024</v>
      </c>
      <c r="BI17" s="251">
        <f t="shared" si="6"/>
        <v>4.4307950269433993</v>
      </c>
      <c r="BJ17" s="250">
        <f t="shared" si="46"/>
        <v>13.376162437796381</v>
      </c>
      <c r="BK17" s="278">
        <f t="shared" si="47"/>
        <v>1.2318476502798879</v>
      </c>
      <c r="BL17" s="195">
        <f>SUM(BL18:BL20)</f>
        <v>566763.66</v>
      </c>
      <c r="BM17" s="196">
        <f t="shared" ref="BM17:BN17" si="73">SUM(BM18:BM20)</f>
        <v>0</v>
      </c>
      <c r="BN17" s="197">
        <f t="shared" si="73"/>
        <v>6154269.79</v>
      </c>
      <c r="BO17" s="112"/>
      <c r="BP17" s="102"/>
      <c r="BQ17" s="102"/>
      <c r="BR17" s="102"/>
      <c r="BS17" s="102"/>
      <c r="BT17" s="102"/>
      <c r="BU17" s="102"/>
      <c r="BV17" s="102"/>
      <c r="BW17" s="102"/>
      <c r="BX17" s="102"/>
      <c r="BY17" s="102"/>
      <c r="BZ17" s="102"/>
      <c r="CA17" s="102"/>
      <c r="CB17" s="286"/>
    </row>
    <row r="18" spans="1:82" ht="14.25" customHeight="1" x14ac:dyDescent="0.35">
      <c r="A18" s="319" t="s">
        <v>361</v>
      </c>
      <c r="B18" s="252">
        <f>130870+70285+77735+163986+44464+962+5807+44570+94115+207770+207794</f>
        <v>1048358</v>
      </c>
      <c r="C18" s="253">
        <v>0</v>
      </c>
      <c r="D18" s="253">
        <f>57688+41766+55741+54687+59174+56304+83723+55422+69450+51490+84000+93000</f>
        <v>762445</v>
      </c>
      <c r="E18" s="253">
        <f>26784+24192+26784+25200+26040+25200+26040+26040</f>
        <v>206280</v>
      </c>
      <c r="F18" s="253">
        <f>12239+11892+13344+16638+17681+16953+16602+14233+16580+14282+16607+47</f>
        <v>167098</v>
      </c>
      <c r="G18" s="253"/>
      <c r="H18" s="253"/>
      <c r="I18" s="253"/>
      <c r="J18" s="362">
        <f t="shared" si="19"/>
        <v>2184181</v>
      </c>
      <c r="K18" s="362" t="str">
        <f t="shared" si="20"/>
        <v>MATCH</v>
      </c>
      <c r="L18" s="362">
        <v>2184181</v>
      </c>
      <c r="M18" s="252"/>
      <c r="N18" s="363"/>
      <c r="O18" s="363">
        <v>256120</v>
      </c>
      <c r="P18" s="363"/>
      <c r="Q18" s="363"/>
      <c r="R18" s="363"/>
      <c r="S18" s="363"/>
      <c r="T18" s="363"/>
      <c r="U18" s="362">
        <f>SUM(M18:T18)</f>
        <v>256120</v>
      </c>
      <c r="V18" s="362" t="str">
        <f t="shared" si="23"/>
        <v>MATCH</v>
      </c>
      <c r="W18" s="387">
        <v>256120</v>
      </c>
      <c r="X18" s="387">
        <f>L18+W18</f>
        <v>2440301</v>
      </c>
      <c r="Y18" s="388">
        <v>342246</v>
      </c>
      <c r="Z18" s="389">
        <v>0</v>
      </c>
      <c r="AA18" s="252"/>
      <c r="AB18" s="253"/>
      <c r="AC18" s="253">
        <v>0</v>
      </c>
      <c r="AD18" s="253"/>
      <c r="AE18" s="253"/>
      <c r="AF18" s="253"/>
      <c r="AG18" s="253"/>
      <c r="AH18" s="362">
        <f t="shared" si="11"/>
        <v>0</v>
      </c>
      <c r="AI18" s="362" t="str">
        <f t="shared" si="25"/>
        <v>MATCH</v>
      </c>
      <c r="AJ18" s="254">
        <v>0</v>
      </c>
      <c r="AK18" s="252"/>
      <c r="AL18" s="253"/>
      <c r="AM18" s="253">
        <v>331894</v>
      </c>
      <c r="AN18" s="253"/>
      <c r="AO18" s="253"/>
      <c r="AP18" s="253"/>
      <c r="AQ18" s="253"/>
      <c r="AR18" s="254">
        <v>331894</v>
      </c>
      <c r="AS18" s="390">
        <f t="shared" si="4"/>
        <v>331894</v>
      </c>
      <c r="AT18" s="252">
        <v>979799</v>
      </c>
      <c r="AU18" s="253">
        <v>269124</v>
      </c>
      <c r="AV18" s="253">
        <v>143620</v>
      </c>
      <c r="AW18" s="253">
        <f t="shared" si="40"/>
        <v>1392543</v>
      </c>
      <c r="AX18" s="253">
        <v>0</v>
      </c>
      <c r="AY18" s="253"/>
      <c r="AZ18" s="253">
        <v>0</v>
      </c>
      <c r="BA18" s="253">
        <f t="shared" si="41"/>
        <v>0</v>
      </c>
      <c r="BB18" s="362">
        <f t="shared" si="13"/>
        <v>1392543</v>
      </c>
      <c r="BC18" s="362" t="str">
        <f t="shared" si="27"/>
        <v>MATCH</v>
      </c>
      <c r="BD18" s="254">
        <f>BA18+AW18</f>
        <v>1392543</v>
      </c>
      <c r="BE18" s="391">
        <v>3064557</v>
      </c>
      <c r="BF18" s="389">
        <v>1469118</v>
      </c>
      <c r="BG18" s="281">
        <f t="shared" si="30"/>
        <v>0.47939000645117713</v>
      </c>
      <c r="BH18" s="167">
        <f t="shared" si="43"/>
        <v>11.533127397879783</v>
      </c>
      <c r="BI18" s="255">
        <f t="shared" si="6"/>
        <v>3.1733639360463983</v>
      </c>
      <c r="BJ18" s="167">
        <f t="shared" si="46"/>
        <v>6.5813093655355246</v>
      </c>
      <c r="BK18" s="280">
        <f t="shared" si="47"/>
        <v>1.8108609288747002</v>
      </c>
      <c r="BL18" s="209">
        <f>'GHG and Energy Use Dec'!Q16</f>
        <v>211590.57</v>
      </c>
      <c r="BM18" s="209">
        <f>'GHG and Energy Use Dec'!R16</f>
        <v>0</v>
      </c>
      <c r="BN18" s="209">
        <f>'GHG and Energy Use Dec'!S16</f>
        <v>768995</v>
      </c>
      <c r="BO18" s="112" t="s">
        <v>492</v>
      </c>
      <c r="BP18" s="102" t="s">
        <v>493</v>
      </c>
      <c r="BQ18" s="102" t="s">
        <v>480</v>
      </c>
      <c r="BR18" s="102" t="s">
        <v>474</v>
      </c>
      <c r="BS18" s="102"/>
      <c r="BT18" s="102" t="s">
        <v>485</v>
      </c>
      <c r="BU18" s="102" t="s">
        <v>464</v>
      </c>
      <c r="BV18" s="102" t="s">
        <v>463</v>
      </c>
      <c r="BW18" s="102" t="s">
        <v>467</v>
      </c>
      <c r="BX18" s="102" t="s">
        <v>475</v>
      </c>
      <c r="BY18" s="102" t="s">
        <v>468</v>
      </c>
      <c r="BZ18" s="102" t="s">
        <v>481</v>
      </c>
      <c r="CA18" s="102" t="s">
        <v>470</v>
      </c>
      <c r="CB18" s="286" t="s">
        <v>468</v>
      </c>
    </row>
    <row r="19" spans="1:82" ht="14.25" customHeight="1" x14ac:dyDescent="0.35">
      <c r="A19" s="319" t="s">
        <v>362</v>
      </c>
      <c r="B19" s="252">
        <f>466514+521187+365913+315053+151231+1644+15890+27945+160338+394055</f>
        <v>2419770</v>
      </c>
      <c r="C19" s="253"/>
      <c r="D19" s="253"/>
      <c r="E19" s="253"/>
      <c r="F19" s="253">
        <f>13330+13612+14657+14657+10165+7390+25557+19014+9717+9799+6910+5656</f>
        <v>150464</v>
      </c>
      <c r="G19" s="253"/>
      <c r="H19" s="253">
        <f>62+16064+70</f>
        <v>16196</v>
      </c>
      <c r="I19" s="253">
        <f>4212+3026</f>
        <v>7238</v>
      </c>
      <c r="J19" s="362">
        <f t="shared" si="19"/>
        <v>2593668</v>
      </c>
      <c r="K19" s="362" t="str">
        <f t="shared" si="20"/>
        <v>MATCH</v>
      </c>
      <c r="L19" s="362">
        <v>2593668</v>
      </c>
      <c r="M19" s="252"/>
      <c r="N19" s="363"/>
      <c r="O19" s="363"/>
      <c r="P19" s="363"/>
      <c r="Q19" s="363"/>
      <c r="R19" s="363"/>
      <c r="S19" s="363"/>
      <c r="T19" s="363"/>
      <c r="U19" s="362">
        <f t="shared" si="45"/>
        <v>0</v>
      </c>
      <c r="V19" s="362" t="str">
        <f t="shared" si="23"/>
        <v>MATCH</v>
      </c>
      <c r="W19" s="387">
        <v>0</v>
      </c>
      <c r="X19" s="387">
        <f>L19+W19</f>
        <v>2593668</v>
      </c>
      <c r="Y19" s="388">
        <v>265192</v>
      </c>
      <c r="Z19" s="389">
        <v>0</v>
      </c>
      <c r="AA19" s="252"/>
      <c r="AB19" s="253"/>
      <c r="AC19" s="253"/>
      <c r="AD19" s="253"/>
      <c r="AE19" s="253"/>
      <c r="AF19" s="253"/>
      <c r="AG19" s="253"/>
      <c r="AH19" s="362">
        <f t="shared" si="11"/>
        <v>0</v>
      </c>
      <c r="AI19" s="362" t="str">
        <f t="shared" si="25"/>
        <v>MATCH</v>
      </c>
      <c r="AJ19" s="254">
        <v>0</v>
      </c>
      <c r="AK19" s="252"/>
      <c r="AL19" s="253"/>
      <c r="AM19" s="253"/>
      <c r="AN19" s="253"/>
      <c r="AO19" s="253"/>
      <c r="AP19" s="253"/>
      <c r="AQ19" s="253"/>
      <c r="AR19" s="254">
        <v>0</v>
      </c>
      <c r="AS19" s="390">
        <f t="shared" si="4"/>
        <v>0</v>
      </c>
      <c r="AT19" s="252">
        <v>2974777</v>
      </c>
      <c r="AU19" s="253">
        <v>141046</v>
      </c>
      <c r="AV19" s="253">
        <v>36428</v>
      </c>
      <c r="AW19" s="253">
        <f t="shared" si="40"/>
        <v>3152251</v>
      </c>
      <c r="AX19" s="253"/>
      <c r="AY19" s="253"/>
      <c r="AZ19" s="253"/>
      <c r="BA19" s="253">
        <f t="shared" si="41"/>
        <v>0</v>
      </c>
      <c r="BB19" s="362">
        <f t="shared" si="13"/>
        <v>3152251</v>
      </c>
      <c r="BC19" s="362" t="str">
        <f t="shared" si="27"/>
        <v>MATCH</v>
      </c>
      <c r="BD19" s="254">
        <f>BA19+AW19</f>
        <v>3152251</v>
      </c>
      <c r="BE19" s="391">
        <v>3712041.7</v>
      </c>
      <c r="BF19" s="389">
        <v>2878924.7</v>
      </c>
      <c r="BG19" s="281">
        <f t="shared" ref="BG19" si="74">BF19/BE19</f>
        <v>0.7755636742981632</v>
      </c>
      <c r="BH19" s="167">
        <f t="shared" si="43"/>
        <v>56.800583408339854</v>
      </c>
      <c r="BI19" s="255">
        <f t="shared" si="6"/>
        <v>1.1983208018241422</v>
      </c>
      <c r="BJ19" s="167">
        <f t="shared" ref="BJ19" si="75">BD19/BL19</f>
        <v>69.03339049158285</v>
      </c>
      <c r="BK19" s="280">
        <f t="shared" ref="BK19" si="76">BD19/BN19</f>
        <v>1.4563960945930452</v>
      </c>
      <c r="BL19" s="209">
        <f>'GHG and Energy Use Dec'!Q17</f>
        <v>45662.7</v>
      </c>
      <c r="BM19" s="209">
        <f>'GHG and Energy Use Dec'!R17</f>
        <v>0</v>
      </c>
      <c r="BN19" s="209">
        <f>'GHG and Energy Use Dec'!S17</f>
        <v>2164418.7400000002</v>
      </c>
      <c r="BO19" s="112" t="s">
        <v>492</v>
      </c>
      <c r="BP19" s="102" t="s">
        <v>493</v>
      </c>
      <c r="BQ19" s="102" t="s">
        <v>460</v>
      </c>
      <c r="BR19" s="102"/>
      <c r="BS19" s="102"/>
      <c r="BT19" s="102" t="s">
        <v>485</v>
      </c>
      <c r="BU19" s="102" t="s">
        <v>464</v>
      </c>
      <c r="BV19" s="102" t="s">
        <v>465</v>
      </c>
      <c r="BW19" s="102" t="s">
        <v>467</v>
      </c>
      <c r="BX19" s="102" t="s">
        <v>475</v>
      </c>
      <c r="BY19" s="102" t="s">
        <v>468</v>
      </c>
      <c r="BZ19" s="102" t="s">
        <v>481</v>
      </c>
      <c r="CA19" s="102" t="s">
        <v>470</v>
      </c>
      <c r="CB19" s="286" t="s">
        <v>468</v>
      </c>
    </row>
    <row r="20" spans="1:82" ht="14.25" customHeight="1" x14ac:dyDescent="0.35">
      <c r="A20" s="319" t="s">
        <v>363</v>
      </c>
      <c r="B20" s="252">
        <f>2026574+1418171+2949419+3331719+1838144+1128724+671430+1219848+2425046+1470480+2346740+1093100+122248</f>
        <v>22041643</v>
      </c>
      <c r="C20" s="253"/>
      <c r="D20" s="253"/>
      <c r="E20" s="253">
        <f>16058*12</f>
        <v>192696</v>
      </c>
      <c r="F20" s="253"/>
      <c r="G20" s="253"/>
      <c r="H20" s="253"/>
      <c r="I20" s="253"/>
      <c r="J20" s="362">
        <f t="shared" si="19"/>
        <v>22234339</v>
      </c>
      <c r="K20" s="362" t="str">
        <f t="shared" si="20"/>
        <v>MATCH</v>
      </c>
      <c r="L20" s="362">
        <v>22234338.98</v>
      </c>
      <c r="M20" s="252"/>
      <c r="N20" s="363"/>
      <c r="O20" s="363"/>
      <c r="P20" s="363"/>
      <c r="Q20" s="363"/>
      <c r="R20" s="363"/>
      <c r="S20" s="363"/>
      <c r="T20" s="363"/>
      <c r="U20" s="362">
        <f t="shared" si="45"/>
        <v>0</v>
      </c>
      <c r="V20" s="362" t="str">
        <f t="shared" si="23"/>
        <v>MATCH</v>
      </c>
      <c r="W20" s="387">
        <v>0</v>
      </c>
      <c r="X20" s="387">
        <f>L20+W20</f>
        <v>22234338.98</v>
      </c>
      <c r="Y20" s="388">
        <v>6483903</v>
      </c>
      <c r="Z20" s="389">
        <v>20851159.98</v>
      </c>
      <c r="AA20" s="252">
        <f>AJ20</f>
        <v>14755429</v>
      </c>
      <c r="AB20" s="253"/>
      <c r="AC20" s="253"/>
      <c r="AD20" s="253"/>
      <c r="AE20" s="253"/>
      <c r="AF20" s="253"/>
      <c r="AG20" s="253">
        <v>0</v>
      </c>
      <c r="AH20" s="362">
        <f t="shared" si="11"/>
        <v>14755429</v>
      </c>
      <c r="AI20" s="362" t="str">
        <f t="shared" si="25"/>
        <v>MATCH</v>
      </c>
      <c r="AJ20" s="254">
        <v>14755429</v>
      </c>
      <c r="AK20" s="252"/>
      <c r="AL20" s="253"/>
      <c r="AM20" s="253"/>
      <c r="AN20" s="253"/>
      <c r="AO20" s="253"/>
      <c r="AP20" s="253"/>
      <c r="AQ20" s="253"/>
      <c r="AR20" s="254">
        <v>0</v>
      </c>
      <c r="AS20" s="390">
        <f t="shared" si="4"/>
        <v>14755429</v>
      </c>
      <c r="AT20" s="252">
        <v>2647973.7799999998</v>
      </c>
      <c r="AU20" s="253">
        <v>0</v>
      </c>
      <c r="AV20" s="253">
        <v>388355</v>
      </c>
      <c r="AW20" s="253">
        <f t="shared" si="40"/>
        <v>3036328.78</v>
      </c>
      <c r="AX20" s="253"/>
      <c r="AY20" s="253"/>
      <c r="AZ20" s="253"/>
      <c r="BA20" s="253">
        <f t="shared" si="41"/>
        <v>0</v>
      </c>
      <c r="BB20" s="362">
        <f t="shared" si="13"/>
        <v>3036328.78</v>
      </c>
      <c r="BC20" s="362" t="str">
        <f t="shared" si="27"/>
        <v>MATCH</v>
      </c>
      <c r="BD20" s="254">
        <f>BA20+AW20</f>
        <v>3036328.78</v>
      </c>
      <c r="BE20" s="391">
        <v>4876395.8</v>
      </c>
      <c r="BF20" s="389">
        <v>3598658.8</v>
      </c>
      <c r="BG20" s="281">
        <f t="shared" ref="BG20" si="77">BF20/BE20</f>
        <v>0.73797512498882878</v>
      </c>
      <c r="BH20" s="167">
        <f t="shared" si="43"/>
        <v>71.837132769597815</v>
      </c>
      <c r="BI20" s="255">
        <f t="shared" si="6"/>
        <v>6.9032389634426545</v>
      </c>
      <c r="BJ20" s="167">
        <f>BD20/BL20</f>
        <v>9.8101029177081891</v>
      </c>
      <c r="BK20" s="280">
        <f t="shared" ref="BK20" si="78">BD20/BN20</f>
        <v>0.94270862555313517</v>
      </c>
      <c r="BL20" s="209">
        <f>'GHG and Energy Use Dec'!Q18</f>
        <v>309510.39</v>
      </c>
      <c r="BM20" s="209">
        <f>'GHG and Energy Use Dec'!R18</f>
        <v>0</v>
      </c>
      <c r="BN20" s="209">
        <f>'GHG and Energy Use Dec'!S18</f>
        <v>3220856.05</v>
      </c>
      <c r="BO20" s="112" t="s">
        <v>492</v>
      </c>
      <c r="BP20" s="102" t="s">
        <v>483</v>
      </c>
      <c r="BQ20" s="102" t="s">
        <v>460</v>
      </c>
      <c r="BR20" s="102" t="s">
        <v>490</v>
      </c>
      <c r="BS20" s="102"/>
      <c r="BT20" s="102" t="s">
        <v>485</v>
      </c>
      <c r="BU20" s="102" t="s">
        <v>464</v>
      </c>
      <c r="BV20" s="102" t="s">
        <v>491</v>
      </c>
      <c r="BW20" s="102" t="s">
        <v>466</v>
      </c>
      <c r="BX20" s="102"/>
      <c r="BY20" s="102" t="s">
        <v>468</v>
      </c>
      <c r="BZ20" s="102" t="s">
        <v>469</v>
      </c>
      <c r="CA20" s="102" t="s">
        <v>470</v>
      </c>
      <c r="CB20" s="286" t="s">
        <v>468</v>
      </c>
    </row>
    <row r="21" spans="1:82" ht="14.25" customHeight="1" x14ac:dyDescent="0.35">
      <c r="A21" s="318" t="s">
        <v>364</v>
      </c>
      <c r="B21" s="174">
        <f t="shared" ref="B21:I21" si="79">B22</f>
        <v>0</v>
      </c>
      <c r="C21" s="108">
        <f t="shared" si="79"/>
        <v>6544013.4400000004</v>
      </c>
      <c r="D21" s="108">
        <f t="shared" si="79"/>
        <v>0</v>
      </c>
      <c r="E21" s="108">
        <f t="shared" si="79"/>
        <v>0</v>
      </c>
      <c r="F21" s="108">
        <f t="shared" si="79"/>
        <v>2400</v>
      </c>
      <c r="G21" s="108">
        <f t="shared" si="79"/>
        <v>0</v>
      </c>
      <c r="H21" s="108">
        <f t="shared" si="79"/>
        <v>0</v>
      </c>
      <c r="I21" s="108">
        <f t="shared" si="79"/>
        <v>0</v>
      </c>
      <c r="J21" s="284">
        <f t="shared" si="19"/>
        <v>6546413.4400000004</v>
      </c>
      <c r="K21" s="284" t="str">
        <f t="shared" si="20"/>
        <v>MATCH</v>
      </c>
      <c r="L21" s="284">
        <f t="shared" ref="L21:BF21" si="80">L22</f>
        <v>6546413.4400000004</v>
      </c>
      <c r="M21" s="174">
        <f t="shared" si="80"/>
        <v>27335411</v>
      </c>
      <c r="N21" s="126">
        <f t="shared" si="80"/>
        <v>0</v>
      </c>
      <c r="O21" s="126">
        <f t="shared" si="80"/>
        <v>0</v>
      </c>
      <c r="P21" s="126">
        <f t="shared" si="80"/>
        <v>0</v>
      </c>
      <c r="Q21" s="126">
        <f t="shared" si="80"/>
        <v>0</v>
      </c>
      <c r="R21" s="126">
        <f t="shared" si="80"/>
        <v>0</v>
      </c>
      <c r="S21" s="126">
        <f t="shared" si="80"/>
        <v>0</v>
      </c>
      <c r="T21" s="126">
        <f t="shared" si="80"/>
        <v>0</v>
      </c>
      <c r="U21" s="284">
        <f t="shared" si="45"/>
        <v>27335411</v>
      </c>
      <c r="V21" s="284" t="str">
        <f t="shared" si="23"/>
        <v>MATCH</v>
      </c>
      <c r="W21" s="383">
        <f t="shared" si="80"/>
        <v>27335411</v>
      </c>
      <c r="X21" s="383">
        <f t="shared" si="80"/>
        <v>33881824.439999998</v>
      </c>
      <c r="Y21" s="384">
        <f t="shared" si="80"/>
        <v>2463418.38</v>
      </c>
      <c r="Z21" s="385">
        <f t="shared" si="80"/>
        <v>35068022.140000001</v>
      </c>
      <c r="AA21" s="174">
        <f t="shared" si="80"/>
        <v>0</v>
      </c>
      <c r="AB21" s="108">
        <f t="shared" si="80"/>
        <v>0</v>
      </c>
      <c r="AC21" s="108">
        <f t="shared" si="80"/>
        <v>0</v>
      </c>
      <c r="AD21" s="108">
        <f t="shared" si="80"/>
        <v>0</v>
      </c>
      <c r="AE21" s="108">
        <f t="shared" si="80"/>
        <v>0</v>
      </c>
      <c r="AF21" s="108">
        <f t="shared" si="80"/>
        <v>0</v>
      </c>
      <c r="AG21" s="108">
        <f t="shared" si="80"/>
        <v>0</v>
      </c>
      <c r="AH21" s="284">
        <f t="shared" si="11"/>
        <v>0</v>
      </c>
      <c r="AI21" s="284" t="str">
        <f t="shared" si="25"/>
        <v>MATCH</v>
      </c>
      <c r="AJ21" s="111">
        <f t="shared" si="80"/>
        <v>0</v>
      </c>
      <c r="AK21" s="174">
        <f t="shared" si="80"/>
        <v>24041450.699999999</v>
      </c>
      <c r="AL21" s="108">
        <f t="shared" si="80"/>
        <v>0</v>
      </c>
      <c r="AM21" s="108">
        <f t="shared" si="80"/>
        <v>0</v>
      </c>
      <c r="AN21" s="108">
        <f t="shared" si="80"/>
        <v>0</v>
      </c>
      <c r="AO21" s="108">
        <f t="shared" si="80"/>
        <v>0</v>
      </c>
      <c r="AP21" s="108">
        <f t="shared" si="80"/>
        <v>0</v>
      </c>
      <c r="AQ21" s="108">
        <f t="shared" si="80"/>
        <v>0</v>
      </c>
      <c r="AR21" s="111">
        <f t="shared" si="80"/>
        <v>24041450.699999999</v>
      </c>
      <c r="AS21" s="386">
        <f t="shared" si="4"/>
        <v>24041450.699999999</v>
      </c>
      <c r="AT21" s="174">
        <f>AT22</f>
        <v>1539555.9</v>
      </c>
      <c r="AU21" s="108">
        <f t="shared" ref="AU21:AZ21" si="81">AU22</f>
        <v>34538.620000000003</v>
      </c>
      <c r="AV21" s="108">
        <f t="shared" si="81"/>
        <v>0</v>
      </c>
      <c r="AW21" s="108">
        <f t="shared" si="40"/>
        <v>1574094.52</v>
      </c>
      <c r="AX21" s="108">
        <f>AX22</f>
        <v>0</v>
      </c>
      <c r="AY21" s="108">
        <f t="shared" si="81"/>
        <v>0</v>
      </c>
      <c r="AZ21" s="108">
        <f t="shared" si="81"/>
        <v>0</v>
      </c>
      <c r="BA21" s="108">
        <f t="shared" si="41"/>
        <v>0</v>
      </c>
      <c r="BB21" s="284">
        <f t="shared" si="13"/>
        <v>1574094.52</v>
      </c>
      <c r="BC21" s="284" t="str">
        <f t="shared" si="27"/>
        <v>MATCH</v>
      </c>
      <c r="BD21" s="111">
        <f t="shared" si="80"/>
        <v>1574094.52</v>
      </c>
      <c r="BE21" s="386">
        <f t="shared" si="80"/>
        <v>33731156</v>
      </c>
      <c r="BF21" s="384">
        <f t="shared" si="80"/>
        <v>26998799</v>
      </c>
      <c r="BG21" s="277">
        <f t="shared" si="30"/>
        <v>0.8004113170624807</v>
      </c>
      <c r="BH21" s="405">
        <f>BH22</f>
        <v>139.94979715615409</v>
      </c>
      <c r="BI21" s="251">
        <f t="shared" si="6"/>
        <v>1.317802698490337</v>
      </c>
      <c r="BJ21" s="405">
        <f>BJ22</f>
        <v>6.501840217274137</v>
      </c>
      <c r="BK21" s="278">
        <f t="shared" si="47"/>
        <v>6.1222972505752468E-2</v>
      </c>
      <c r="BL21" s="195">
        <f>BL22</f>
        <v>0</v>
      </c>
      <c r="BM21" s="196">
        <f t="shared" ref="BM21:BN21" si="82">BM22</f>
        <v>242099846.72</v>
      </c>
      <c r="BN21" s="197">
        <f t="shared" si="82"/>
        <v>25710847.670000002</v>
      </c>
      <c r="BO21" s="112"/>
      <c r="BP21" s="102"/>
      <c r="BQ21" s="102"/>
      <c r="BR21" s="102"/>
      <c r="BS21" s="102"/>
      <c r="BT21" s="102"/>
      <c r="BU21" s="102"/>
      <c r="BV21" s="102"/>
      <c r="BW21" s="102"/>
      <c r="BX21" s="102"/>
      <c r="BY21" s="102"/>
      <c r="BZ21" s="102"/>
      <c r="CA21" s="102"/>
      <c r="CB21" s="286"/>
    </row>
    <row r="22" spans="1:82" ht="14.25" customHeight="1" x14ac:dyDescent="0.35">
      <c r="A22" s="319" t="s">
        <v>365</v>
      </c>
      <c r="B22" s="252">
        <v>0</v>
      </c>
      <c r="C22" s="253">
        <f>L22-F22</f>
        <v>6544013.4400000004</v>
      </c>
      <c r="D22" s="253">
        <v>0</v>
      </c>
      <c r="E22" s="253">
        <v>0</v>
      </c>
      <c r="F22" s="253">
        <f>200*12</f>
        <v>2400</v>
      </c>
      <c r="G22" s="253"/>
      <c r="H22" s="253"/>
      <c r="I22" s="253"/>
      <c r="J22" s="362">
        <f t="shared" si="19"/>
        <v>6546413.4400000004</v>
      </c>
      <c r="K22" s="362" t="str">
        <f>IF(ROUND(J22,0)=ROUND(L22,0),"MATCH","FIX NEEDED")</f>
        <v>MATCH</v>
      </c>
      <c r="L22" s="362">
        <v>6546413.4400000004</v>
      </c>
      <c r="M22" s="252">
        <f>W22</f>
        <v>27335411</v>
      </c>
      <c r="N22" s="363"/>
      <c r="O22" s="363"/>
      <c r="P22" s="363"/>
      <c r="Q22" s="363"/>
      <c r="R22" s="363"/>
      <c r="S22" s="363"/>
      <c r="T22" s="363"/>
      <c r="U22" s="362">
        <f t="shared" si="45"/>
        <v>27335411</v>
      </c>
      <c r="V22" s="362" t="str">
        <f t="shared" si="23"/>
        <v>MATCH</v>
      </c>
      <c r="W22" s="387">
        <v>27335411</v>
      </c>
      <c r="X22" s="387">
        <f>L22+W22</f>
        <v>33881824.439999998</v>
      </c>
      <c r="Y22" s="389">
        <v>2463418.38</v>
      </c>
      <c r="Z22" s="389">
        <v>35068022.140000001</v>
      </c>
      <c r="AA22" s="252"/>
      <c r="AB22" s="253"/>
      <c r="AC22" s="253"/>
      <c r="AD22" s="253"/>
      <c r="AE22" s="253"/>
      <c r="AF22" s="253"/>
      <c r="AG22" s="253"/>
      <c r="AH22" s="362">
        <f t="shared" si="11"/>
        <v>0</v>
      </c>
      <c r="AI22" s="362" t="str">
        <f t="shared" si="25"/>
        <v>MATCH</v>
      </c>
      <c r="AJ22" s="254">
        <v>0</v>
      </c>
      <c r="AK22" s="252">
        <f>AR22</f>
        <v>24041450.699999999</v>
      </c>
      <c r="AL22" s="253"/>
      <c r="AM22" s="253"/>
      <c r="AN22" s="253"/>
      <c r="AO22" s="253"/>
      <c r="AP22" s="253"/>
      <c r="AQ22" s="253"/>
      <c r="AR22" s="254">
        <v>24041450.699999999</v>
      </c>
      <c r="AS22" s="390">
        <f t="shared" si="4"/>
        <v>24041450.699999999</v>
      </c>
      <c r="AT22" s="252">
        <v>1539555.9</v>
      </c>
      <c r="AU22" s="253">
        <v>34538.620000000003</v>
      </c>
      <c r="AV22" s="253">
        <v>0</v>
      </c>
      <c r="AW22" s="253">
        <f t="shared" si="40"/>
        <v>1574094.52</v>
      </c>
      <c r="AX22" s="253"/>
      <c r="AY22" s="253"/>
      <c r="AZ22" s="253"/>
      <c r="BA22" s="253">
        <f t="shared" si="41"/>
        <v>0</v>
      </c>
      <c r="BB22" s="362">
        <f t="shared" si="13"/>
        <v>1574094.52</v>
      </c>
      <c r="BC22" s="362" t="str">
        <f t="shared" si="27"/>
        <v>MATCH</v>
      </c>
      <c r="BD22" s="254">
        <f>BA22+AW22</f>
        <v>1574094.52</v>
      </c>
      <c r="BE22" s="391">
        <v>33731156</v>
      </c>
      <c r="BF22" s="389">
        <v>26998799</v>
      </c>
      <c r="BG22" s="281">
        <f t="shared" si="30"/>
        <v>0.8004113170624807</v>
      </c>
      <c r="BH22" s="408">
        <f>(X22/BM22)*1000</f>
        <v>139.94979715615409</v>
      </c>
      <c r="BI22" s="255">
        <f t="shared" si="6"/>
        <v>1.317802698490337</v>
      </c>
      <c r="BJ22" s="408">
        <f>(BD22/BM22)*1000</f>
        <v>6.501840217274137</v>
      </c>
      <c r="BK22" s="280">
        <f t="shared" si="47"/>
        <v>6.1222972505752468E-2</v>
      </c>
      <c r="BL22" s="209">
        <f>'GHG and Energy Use Dec'!Q20</f>
        <v>0</v>
      </c>
      <c r="BM22" s="209">
        <f>'GHG and Energy Use Dec'!R20</f>
        <v>242099846.72</v>
      </c>
      <c r="BN22" s="209">
        <f>'GHG and Energy Use Dec'!S20</f>
        <v>25710847.670000002</v>
      </c>
      <c r="BO22" s="112" t="s">
        <v>494</v>
      </c>
      <c r="BP22" s="102" t="s">
        <v>493</v>
      </c>
      <c r="BQ22" s="102" t="s">
        <v>474</v>
      </c>
      <c r="BR22" s="102" t="s">
        <v>480</v>
      </c>
      <c r="BS22" s="102" t="s">
        <v>399</v>
      </c>
      <c r="BT22" s="102" t="s">
        <v>485</v>
      </c>
      <c r="BU22" s="102" t="s">
        <v>464</v>
      </c>
      <c r="BV22" s="102" t="s">
        <v>495</v>
      </c>
      <c r="BW22" s="102" t="s">
        <v>466</v>
      </c>
      <c r="BX22" s="102" t="s">
        <v>475</v>
      </c>
      <c r="BY22" s="102" t="s">
        <v>468</v>
      </c>
      <c r="BZ22" s="102" t="s">
        <v>476</v>
      </c>
      <c r="CA22" s="102" t="s">
        <v>456</v>
      </c>
      <c r="CB22" s="286" t="s">
        <v>496</v>
      </c>
    </row>
    <row r="23" spans="1:82" s="13" customFormat="1" ht="14.25" customHeight="1" x14ac:dyDescent="0.35">
      <c r="A23" s="317" t="s">
        <v>366</v>
      </c>
      <c r="B23" s="172">
        <f>B24+B26+B28+B31</f>
        <v>4102941.9005</v>
      </c>
      <c r="C23" s="172">
        <f t="shared" ref="C23:L23" si="83">C24+C26+C28+C31</f>
        <v>2569520.3436000003</v>
      </c>
      <c r="D23" s="172">
        <f t="shared" si="83"/>
        <v>21315269</v>
      </c>
      <c r="E23" s="172">
        <f>E24+E26+E28+E31</f>
        <v>1055259.4959</v>
      </c>
      <c r="F23" s="172">
        <f t="shared" si="83"/>
        <v>0</v>
      </c>
      <c r="G23" s="172">
        <f t="shared" si="83"/>
        <v>2797387</v>
      </c>
      <c r="H23" s="172">
        <f t="shared" si="83"/>
        <v>0</v>
      </c>
      <c r="I23" s="172">
        <f t="shared" si="83"/>
        <v>0</v>
      </c>
      <c r="J23" s="172">
        <f t="shared" si="83"/>
        <v>31840377.740000002</v>
      </c>
      <c r="K23" s="284" t="str">
        <f t="shared" si="20"/>
        <v>MATCH</v>
      </c>
      <c r="L23" s="172">
        <f t="shared" si="83"/>
        <v>31840377.740000002</v>
      </c>
      <c r="M23" s="172">
        <f>M24+M26+M28+M31</f>
        <v>1334104.47</v>
      </c>
      <c r="N23" s="172">
        <f t="shared" ref="N23:U23" si="84">N24+N26+N28+N31</f>
        <v>3397653</v>
      </c>
      <c r="O23" s="172">
        <f t="shared" si="84"/>
        <v>0</v>
      </c>
      <c r="P23" s="172">
        <f t="shared" si="84"/>
        <v>85560</v>
      </c>
      <c r="Q23" s="172">
        <f t="shared" si="84"/>
        <v>0</v>
      </c>
      <c r="R23" s="172">
        <f t="shared" si="84"/>
        <v>0</v>
      </c>
      <c r="S23" s="172">
        <f t="shared" si="84"/>
        <v>0</v>
      </c>
      <c r="T23" s="172">
        <f t="shared" si="84"/>
        <v>0</v>
      </c>
      <c r="U23" s="172">
        <f t="shared" si="84"/>
        <v>4817317.47</v>
      </c>
      <c r="V23" s="362" t="str">
        <f t="shared" si="23"/>
        <v>MATCH</v>
      </c>
      <c r="W23" s="379">
        <f>W24+W26+W28+W31</f>
        <v>4817317.47</v>
      </c>
      <c r="X23" s="379">
        <f>X24+X26+X28+X31</f>
        <v>36657695.210000001</v>
      </c>
      <c r="Y23" s="379">
        <f t="shared" ref="Y23:AH23" si="85">Y24+Y26+Y28+Y31</f>
        <v>-2301943.88</v>
      </c>
      <c r="Z23" s="379">
        <f t="shared" si="85"/>
        <v>13389418.379999999</v>
      </c>
      <c r="AA23" s="379">
        <f t="shared" si="85"/>
        <v>13500341.41</v>
      </c>
      <c r="AB23" s="379">
        <f t="shared" si="85"/>
        <v>0</v>
      </c>
      <c r="AC23" s="379">
        <f t="shared" si="85"/>
        <v>0</v>
      </c>
      <c r="AD23" s="379">
        <f t="shared" si="85"/>
        <v>0</v>
      </c>
      <c r="AE23" s="379">
        <f t="shared" si="85"/>
        <v>0</v>
      </c>
      <c r="AF23" s="379">
        <f t="shared" si="85"/>
        <v>0</v>
      </c>
      <c r="AG23" s="379">
        <f t="shared" si="85"/>
        <v>4274439</v>
      </c>
      <c r="AH23" s="379">
        <f t="shared" si="85"/>
        <v>17774780.41</v>
      </c>
      <c r="AI23" s="283" t="str">
        <f t="shared" si="25"/>
        <v>MATCH</v>
      </c>
      <c r="AJ23" s="114">
        <f>AJ24+AJ26+AJ28+AJ31</f>
        <v>17774780.41</v>
      </c>
      <c r="AK23" s="114">
        <f t="shared" ref="AK23:AQ23" si="86">AK24+AK26+AK28+AK31</f>
        <v>202829</v>
      </c>
      <c r="AL23" s="114">
        <f t="shared" si="86"/>
        <v>0</v>
      </c>
      <c r="AM23" s="114">
        <f t="shared" si="86"/>
        <v>0</v>
      </c>
      <c r="AN23" s="114">
        <f t="shared" si="86"/>
        <v>211523.1</v>
      </c>
      <c r="AO23" s="114">
        <f t="shared" si="86"/>
        <v>0</v>
      </c>
      <c r="AP23" s="114">
        <f t="shared" si="86"/>
        <v>0</v>
      </c>
      <c r="AQ23" s="114">
        <f t="shared" si="86"/>
        <v>0</v>
      </c>
      <c r="AR23" s="114">
        <f>AR24+AR26+AR28+AR31</f>
        <v>414352.1</v>
      </c>
      <c r="AS23" s="114">
        <f t="shared" ref="AS23:BB23" si="87">AS24+AS26+AS28+AS31</f>
        <v>18189132.509999998</v>
      </c>
      <c r="AT23" s="114">
        <f t="shared" si="87"/>
        <v>1517980.05</v>
      </c>
      <c r="AU23" s="114">
        <f t="shared" si="87"/>
        <v>31801</v>
      </c>
      <c r="AV23" s="114">
        <f t="shared" si="87"/>
        <v>13140727.560000001</v>
      </c>
      <c r="AW23" s="114">
        <f t="shared" si="87"/>
        <v>14690508.609999999</v>
      </c>
      <c r="AX23" s="114">
        <f t="shared" si="87"/>
        <v>290934.2</v>
      </c>
      <c r="AY23" s="114">
        <f t="shared" si="87"/>
        <v>6927398.2699999996</v>
      </c>
      <c r="AZ23" s="114">
        <f t="shared" si="87"/>
        <v>0</v>
      </c>
      <c r="BA23" s="114">
        <f t="shared" si="87"/>
        <v>7218332.4699999997</v>
      </c>
      <c r="BB23" s="114">
        <f t="shared" si="87"/>
        <v>21908841.079999998</v>
      </c>
      <c r="BC23" s="283" t="str">
        <f>IF(ROUND(BB23,0)=ROUND(BD23,0),"MATCH","FIX NEEDED")</f>
        <v>MATCH</v>
      </c>
      <c r="BD23" s="114">
        <f>BD24+BD26+BD28+BD31</f>
        <v>21908841.079999998</v>
      </c>
      <c r="BE23" s="114">
        <f t="shared" ref="BE23:BN23" si="88">BE24+BE26+BE28+BE31</f>
        <v>170243587.22</v>
      </c>
      <c r="BF23" s="114">
        <f t="shared" si="88"/>
        <v>135614032.62</v>
      </c>
      <c r="BG23" s="413">
        <f t="shared" si="30"/>
        <v>0.79658819949999415</v>
      </c>
      <c r="BH23" s="414">
        <f t="shared" ref="BH23:BH56" si="89">X23/BL23</f>
        <v>30.540573232280501</v>
      </c>
      <c r="BI23" s="414">
        <f t="shared" ref="BI23:BI55" si="90">X23/BN23</f>
        <v>1.1696619643839674</v>
      </c>
      <c r="BJ23" s="414">
        <f>BD23/BL23</f>
        <v>18.25288146472467</v>
      </c>
      <c r="BK23" s="414">
        <f>BD23/BN23</f>
        <v>0.69906026410570288</v>
      </c>
      <c r="BL23" s="114">
        <f t="shared" si="88"/>
        <v>1200294.9300000002</v>
      </c>
      <c r="BM23" s="114">
        <f t="shared" si="88"/>
        <v>0</v>
      </c>
      <c r="BN23" s="114">
        <f t="shared" si="88"/>
        <v>31340418.280000001</v>
      </c>
      <c r="BO23" s="112"/>
      <c r="BP23" s="102"/>
      <c r="BQ23" s="102"/>
      <c r="BR23" s="102"/>
      <c r="BS23" s="102"/>
      <c r="BT23" s="102"/>
      <c r="BU23" s="102"/>
      <c r="BV23" s="102"/>
      <c r="BW23" s="102"/>
      <c r="BX23" s="102"/>
      <c r="BY23" s="102"/>
      <c r="BZ23" s="102"/>
      <c r="CA23" s="102"/>
      <c r="CB23" s="286"/>
      <c r="CC23" s="125"/>
      <c r="CD23" s="125"/>
    </row>
    <row r="24" spans="1:82" ht="14.25" customHeight="1" x14ac:dyDescent="0.35">
      <c r="A24" s="318" t="s">
        <v>367</v>
      </c>
      <c r="B24" s="174">
        <f>SUM(B25:B25)</f>
        <v>183324</v>
      </c>
      <c r="C24" s="108">
        <f>SUM(C25)</f>
        <v>0</v>
      </c>
      <c r="D24" s="108">
        <f t="shared" ref="D24:I24" si="91">SUM(D25:D25)</f>
        <v>0</v>
      </c>
      <c r="E24" s="108">
        <f>SUM(E25:E25)</f>
        <v>126087.57</v>
      </c>
      <c r="F24" s="108">
        <f t="shared" si="91"/>
        <v>0</v>
      </c>
      <c r="G24" s="108">
        <f t="shared" si="91"/>
        <v>0</v>
      </c>
      <c r="H24" s="108">
        <f t="shared" si="91"/>
        <v>0</v>
      </c>
      <c r="I24" s="108">
        <f t="shared" si="91"/>
        <v>0</v>
      </c>
      <c r="J24" s="284">
        <f t="shared" si="19"/>
        <v>309411.57</v>
      </c>
      <c r="K24" s="284" t="str">
        <f t="shared" si="20"/>
        <v>MATCH</v>
      </c>
      <c r="L24" s="284">
        <f t="shared" ref="L24:T24" si="92">SUM(L25:L25)</f>
        <v>309411.57</v>
      </c>
      <c r="M24" s="174">
        <f t="shared" si="92"/>
        <v>1334104.47</v>
      </c>
      <c r="N24" s="126">
        <f t="shared" si="92"/>
        <v>0</v>
      </c>
      <c r="O24" s="126">
        <f t="shared" si="92"/>
        <v>0</v>
      </c>
      <c r="P24" s="126">
        <f t="shared" si="92"/>
        <v>0</v>
      </c>
      <c r="Q24" s="126">
        <f t="shared" si="92"/>
        <v>0</v>
      </c>
      <c r="R24" s="126">
        <f t="shared" si="92"/>
        <v>0</v>
      </c>
      <c r="S24" s="126">
        <f t="shared" si="92"/>
        <v>0</v>
      </c>
      <c r="T24" s="126">
        <f t="shared" si="92"/>
        <v>0</v>
      </c>
      <c r="U24" s="284">
        <f t="shared" si="45"/>
        <v>1334104.47</v>
      </c>
      <c r="V24" s="284" t="str">
        <f t="shared" si="23"/>
        <v>MATCH</v>
      </c>
      <c r="W24" s="383">
        <f t="shared" ref="W24:AG24" si="93">SUM(W25:W25)</f>
        <v>1334104.47</v>
      </c>
      <c r="X24" s="383">
        <f t="shared" si="93"/>
        <v>1643516.04</v>
      </c>
      <c r="Y24" s="384">
        <f t="shared" si="93"/>
        <v>0</v>
      </c>
      <c r="Z24" s="385">
        <f t="shared" si="93"/>
        <v>0</v>
      </c>
      <c r="AA24" s="174">
        <f t="shared" si="93"/>
        <v>0</v>
      </c>
      <c r="AB24" s="108">
        <f t="shared" si="93"/>
        <v>0</v>
      </c>
      <c r="AC24" s="108">
        <f t="shared" si="93"/>
        <v>0</v>
      </c>
      <c r="AD24" s="108">
        <f t="shared" si="93"/>
        <v>0</v>
      </c>
      <c r="AE24" s="108">
        <f t="shared" si="93"/>
        <v>0</v>
      </c>
      <c r="AF24" s="108">
        <f t="shared" si="93"/>
        <v>0</v>
      </c>
      <c r="AG24" s="108">
        <f t="shared" si="93"/>
        <v>0</v>
      </c>
      <c r="AH24" s="284">
        <f t="shared" si="11"/>
        <v>0</v>
      </c>
      <c r="AI24" s="284" t="str">
        <f t="shared" si="25"/>
        <v>MATCH</v>
      </c>
      <c r="AJ24" s="111">
        <f t="shared" ref="AJ24:AR24" si="94">SUM(AJ25:AJ25)</f>
        <v>0</v>
      </c>
      <c r="AK24" s="174">
        <f t="shared" si="94"/>
        <v>0</v>
      </c>
      <c r="AL24" s="108">
        <f t="shared" si="94"/>
        <v>0</v>
      </c>
      <c r="AM24" s="108">
        <f t="shared" si="94"/>
        <v>0</v>
      </c>
      <c r="AN24" s="108">
        <f t="shared" si="94"/>
        <v>211523.1</v>
      </c>
      <c r="AO24" s="108">
        <f t="shared" si="94"/>
        <v>0</v>
      </c>
      <c r="AP24" s="108">
        <f t="shared" si="94"/>
        <v>0</v>
      </c>
      <c r="AQ24" s="108">
        <f t="shared" si="94"/>
        <v>0</v>
      </c>
      <c r="AR24" s="111">
        <f t="shared" si="94"/>
        <v>211523.1</v>
      </c>
      <c r="AS24" s="386">
        <f t="shared" ref="AS24:AS58" si="95">SUM(AJ24+AR24)</f>
        <v>211523.1</v>
      </c>
      <c r="AT24" s="174">
        <f t="shared" ref="AT24:BB24" si="96">SUM(AT25:AT25)</f>
        <v>0</v>
      </c>
      <c r="AU24" s="108">
        <f t="shared" si="96"/>
        <v>0</v>
      </c>
      <c r="AV24" s="108">
        <f t="shared" si="96"/>
        <v>0</v>
      </c>
      <c r="AW24" s="108">
        <f t="shared" si="96"/>
        <v>0</v>
      </c>
      <c r="AX24" s="108">
        <f t="shared" si="96"/>
        <v>290934.2</v>
      </c>
      <c r="AY24" s="108">
        <f t="shared" si="96"/>
        <v>1136806.27</v>
      </c>
      <c r="AZ24" s="108">
        <f t="shared" si="96"/>
        <v>0</v>
      </c>
      <c r="BA24" s="108">
        <f t="shared" si="96"/>
        <v>1427740.47</v>
      </c>
      <c r="BB24" s="284">
        <f t="shared" si="96"/>
        <v>1427740.47</v>
      </c>
      <c r="BC24" s="284" t="str">
        <f t="shared" si="27"/>
        <v>MATCH</v>
      </c>
      <c r="BD24" s="111">
        <f>SUM(BD25:BD25)</f>
        <v>1427740.47</v>
      </c>
      <c r="BE24" s="383">
        <f>SUM(BE25:BE25)</f>
        <v>33083503.920000002</v>
      </c>
      <c r="BF24" s="111">
        <f>SUM(BF25:BF25)</f>
        <v>31693851.129999999</v>
      </c>
      <c r="BG24" s="277">
        <f t="shared" si="30"/>
        <v>0.95799559824859071</v>
      </c>
      <c r="BH24" s="250">
        <f t="shared" si="89"/>
        <v>4.7770320332404941</v>
      </c>
      <c r="BI24" s="251">
        <f t="shared" si="90"/>
        <v>7.3934257858671554E-2</v>
      </c>
      <c r="BJ24" s="250">
        <f>BD24/BL24</f>
        <v>4.1498602960661328</v>
      </c>
      <c r="BK24" s="278">
        <f>BD24/BN24</f>
        <v>6.422750341045709E-2</v>
      </c>
      <c r="BL24" s="195">
        <f>SUM(BL25:BL25)</f>
        <v>344045.43</v>
      </c>
      <c r="BM24" s="196">
        <f>SUM(BM25:BM25)</f>
        <v>0</v>
      </c>
      <c r="BN24" s="197">
        <f>SUM(BN25:BN25)</f>
        <v>22229425</v>
      </c>
      <c r="BO24" s="112"/>
      <c r="BP24" s="102"/>
      <c r="BQ24" s="102"/>
      <c r="BR24" s="102"/>
      <c r="BS24" s="102"/>
      <c r="BT24" s="102"/>
      <c r="BU24" s="102"/>
      <c r="BV24" s="102"/>
      <c r="BW24" s="102"/>
      <c r="BX24" s="102"/>
      <c r="BY24" s="102"/>
      <c r="BZ24" s="102"/>
      <c r="CA24" s="102"/>
      <c r="CB24" s="286"/>
    </row>
    <row r="25" spans="1:82" ht="14.25" customHeight="1" x14ac:dyDescent="0.35">
      <c r="A25" s="319" t="s">
        <v>368</v>
      </c>
      <c r="B25" s="252">
        <f>17008+21754+43218+4252+70163+8504+18425</f>
        <v>183324</v>
      </c>
      <c r="C25" s="253">
        <v>0</v>
      </c>
      <c r="D25" s="253">
        <v>0</v>
      </c>
      <c r="E25" s="253">
        <f>L25-B25</f>
        <v>126087.57</v>
      </c>
      <c r="F25" s="253"/>
      <c r="G25" s="253"/>
      <c r="H25" s="253"/>
      <c r="I25" s="253"/>
      <c r="J25" s="362">
        <f t="shared" si="19"/>
        <v>309411.57</v>
      </c>
      <c r="K25" s="362" t="str">
        <f t="shared" si="20"/>
        <v>MATCH</v>
      </c>
      <c r="L25" s="362">
        <v>309411.57</v>
      </c>
      <c r="M25" s="252">
        <f>W25</f>
        <v>1334104.47</v>
      </c>
      <c r="N25" s="363"/>
      <c r="O25" s="363"/>
      <c r="P25" s="363"/>
      <c r="Q25" s="363"/>
      <c r="R25" s="363"/>
      <c r="S25" s="363"/>
      <c r="T25" s="363"/>
      <c r="U25" s="362">
        <f t="shared" si="45"/>
        <v>1334104.47</v>
      </c>
      <c r="V25" s="362" t="str">
        <f t="shared" si="23"/>
        <v>MATCH</v>
      </c>
      <c r="W25" s="387">
        <v>1334104.47</v>
      </c>
      <c r="X25" s="387">
        <f>L25+W25</f>
        <v>1643516.04</v>
      </c>
      <c r="Y25" s="388">
        <v>0</v>
      </c>
      <c r="Z25" s="389">
        <v>0</v>
      </c>
      <c r="AA25" s="252"/>
      <c r="AB25" s="253"/>
      <c r="AC25" s="253"/>
      <c r="AD25" s="253"/>
      <c r="AE25" s="253"/>
      <c r="AF25" s="253"/>
      <c r="AG25" s="253"/>
      <c r="AH25" s="362">
        <f t="shared" si="11"/>
        <v>0</v>
      </c>
      <c r="AI25" s="362" t="str">
        <f t="shared" si="25"/>
        <v>MATCH</v>
      </c>
      <c r="AJ25" s="254">
        <v>0</v>
      </c>
      <c r="AK25" s="252"/>
      <c r="AL25" s="253"/>
      <c r="AM25" s="253"/>
      <c r="AN25" s="253">
        <f>AR25</f>
        <v>211523.1</v>
      </c>
      <c r="AO25" s="253"/>
      <c r="AP25" s="253"/>
      <c r="AQ25" s="253"/>
      <c r="AR25" s="254">
        <v>211523.1</v>
      </c>
      <c r="AS25" s="390">
        <f t="shared" si="95"/>
        <v>211523.1</v>
      </c>
      <c r="AT25" s="252"/>
      <c r="AU25" s="253"/>
      <c r="AV25" s="253"/>
      <c r="AW25" s="253">
        <f t="shared" si="40"/>
        <v>0</v>
      </c>
      <c r="AX25" s="253">
        <v>290934.2</v>
      </c>
      <c r="AY25" s="253">
        <v>1136806.27</v>
      </c>
      <c r="AZ25" s="253">
        <v>0</v>
      </c>
      <c r="BA25" s="253">
        <f>SUM(AX25:AZ25)</f>
        <v>1427740.47</v>
      </c>
      <c r="BB25" s="362">
        <f t="shared" si="13"/>
        <v>1427740.47</v>
      </c>
      <c r="BC25" s="362" t="str">
        <f t="shared" si="27"/>
        <v>MATCH</v>
      </c>
      <c r="BD25" s="254">
        <f>BA25+AW25</f>
        <v>1427740.47</v>
      </c>
      <c r="BE25" s="391">
        <v>33083503.920000002</v>
      </c>
      <c r="BF25" s="389">
        <v>31693851.129999999</v>
      </c>
      <c r="BG25" s="281">
        <f t="shared" ref="BG25" si="97">BF25/BE25</f>
        <v>0.95799559824859071</v>
      </c>
      <c r="BH25" s="167">
        <f t="shared" si="89"/>
        <v>4.7770320332404941</v>
      </c>
      <c r="BI25" s="255">
        <f t="shared" si="90"/>
        <v>7.3934257858671554E-2</v>
      </c>
      <c r="BJ25" s="167">
        <f t="shared" ref="BJ25" si="98">BD25/BL25</f>
        <v>4.1498602960661328</v>
      </c>
      <c r="BK25" s="280">
        <f t="shared" ref="BK25" si="99">BD25/BN25</f>
        <v>6.422750341045709E-2</v>
      </c>
      <c r="BL25" s="209">
        <f>'GHG and Energy Use Dec'!Q23</f>
        <v>344045.43</v>
      </c>
      <c r="BM25" s="209">
        <f>'GHG and Energy Use Dec'!R23</f>
        <v>0</v>
      </c>
      <c r="BN25" s="209">
        <f>'GHG and Energy Use Dec'!S23</f>
        <v>22229425</v>
      </c>
      <c r="BO25" s="112" t="s">
        <v>497</v>
      </c>
      <c r="BP25" s="102" t="s">
        <v>498</v>
      </c>
      <c r="BQ25" s="102" t="s">
        <v>499</v>
      </c>
      <c r="BR25" s="102" t="s">
        <v>474</v>
      </c>
      <c r="BS25" s="102" t="s">
        <v>500</v>
      </c>
      <c r="BT25" s="102" t="s">
        <v>465</v>
      </c>
      <c r="BU25" s="102" t="s">
        <v>464</v>
      </c>
      <c r="BV25" s="102" t="s">
        <v>501</v>
      </c>
      <c r="BW25" s="102" t="s">
        <v>467</v>
      </c>
      <c r="BX25" s="102" t="s">
        <v>475</v>
      </c>
      <c r="BY25" s="102" t="s">
        <v>502</v>
      </c>
      <c r="BZ25" s="102" t="s">
        <v>495</v>
      </c>
      <c r="CA25" s="102" t="s">
        <v>456</v>
      </c>
      <c r="CB25" s="286" t="s">
        <v>502</v>
      </c>
    </row>
    <row r="26" spans="1:82" ht="14.25" customHeight="1" x14ac:dyDescent="0.35">
      <c r="A26" s="321" t="s">
        <v>374</v>
      </c>
      <c r="B26" s="174">
        <f t="shared" ref="B26:I26" si="100">B27</f>
        <v>1528073</v>
      </c>
      <c r="C26" s="108">
        <f t="shared" si="100"/>
        <v>0</v>
      </c>
      <c r="D26" s="108">
        <f t="shared" si="100"/>
        <v>21312269</v>
      </c>
      <c r="E26" s="108">
        <f>E27</f>
        <v>0</v>
      </c>
      <c r="F26" s="108">
        <f t="shared" si="100"/>
        <v>0</v>
      </c>
      <c r="G26" s="108">
        <f t="shared" si="100"/>
        <v>2797387</v>
      </c>
      <c r="H26" s="108">
        <f t="shared" si="100"/>
        <v>0</v>
      </c>
      <c r="I26" s="108">
        <f t="shared" si="100"/>
        <v>0</v>
      </c>
      <c r="J26" s="284">
        <f t="shared" si="19"/>
        <v>25637729</v>
      </c>
      <c r="K26" s="284" t="str">
        <f t="shared" si="20"/>
        <v>MATCH</v>
      </c>
      <c r="L26" s="284">
        <f t="shared" ref="L26:BF26" si="101">L27</f>
        <v>25637729</v>
      </c>
      <c r="M26" s="174">
        <f t="shared" si="101"/>
        <v>0</v>
      </c>
      <c r="N26" s="126">
        <f t="shared" si="101"/>
        <v>3397653</v>
      </c>
      <c r="O26" s="126">
        <f t="shared" si="101"/>
        <v>0</v>
      </c>
      <c r="P26" s="126">
        <f t="shared" si="101"/>
        <v>0</v>
      </c>
      <c r="Q26" s="126">
        <f t="shared" si="101"/>
        <v>0</v>
      </c>
      <c r="R26" s="126">
        <f t="shared" si="101"/>
        <v>0</v>
      </c>
      <c r="S26" s="126">
        <f t="shared" si="101"/>
        <v>0</v>
      </c>
      <c r="T26" s="126">
        <f t="shared" si="101"/>
        <v>0</v>
      </c>
      <c r="U26" s="284">
        <f t="shared" si="45"/>
        <v>3397653</v>
      </c>
      <c r="V26" s="284" t="str">
        <f t="shared" si="23"/>
        <v>MATCH</v>
      </c>
      <c r="W26" s="383">
        <f t="shared" si="101"/>
        <v>3397653</v>
      </c>
      <c r="X26" s="383">
        <f t="shared" si="101"/>
        <v>29035382</v>
      </c>
      <c r="Y26" s="384">
        <f t="shared" si="101"/>
        <v>-1159360.76</v>
      </c>
      <c r="Z26" s="385">
        <f t="shared" si="101"/>
        <v>9866831</v>
      </c>
      <c r="AA26" s="174">
        <f t="shared" si="101"/>
        <v>12048632</v>
      </c>
      <c r="AB26" s="108">
        <f t="shared" si="101"/>
        <v>0</v>
      </c>
      <c r="AC26" s="108">
        <f t="shared" si="101"/>
        <v>0</v>
      </c>
      <c r="AD26" s="108">
        <f t="shared" si="101"/>
        <v>0</v>
      </c>
      <c r="AE26" s="108">
        <f t="shared" si="101"/>
        <v>0</v>
      </c>
      <c r="AF26" s="108">
        <f t="shared" si="101"/>
        <v>0</v>
      </c>
      <c r="AG26" s="108">
        <f t="shared" si="101"/>
        <v>0</v>
      </c>
      <c r="AH26" s="284">
        <f t="shared" si="11"/>
        <v>12048632</v>
      </c>
      <c r="AI26" s="284" t="str">
        <f t="shared" si="25"/>
        <v>MATCH</v>
      </c>
      <c r="AJ26" s="111">
        <f t="shared" si="101"/>
        <v>12048632</v>
      </c>
      <c r="AK26" s="174">
        <f t="shared" si="101"/>
        <v>0</v>
      </c>
      <c r="AL26" s="108">
        <f t="shared" si="101"/>
        <v>0</v>
      </c>
      <c r="AM26" s="108">
        <f t="shared" si="101"/>
        <v>0</v>
      </c>
      <c r="AN26" s="108">
        <f t="shared" si="101"/>
        <v>0</v>
      </c>
      <c r="AO26" s="108">
        <f t="shared" si="101"/>
        <v>0</v>
      </c>
      <c r="AP26" s="108">
        <f t="shared" si="101"/>
        <v>0</v>
      </c>
      <c r="AQ26" s="108">
        <f t="shared" si="101"/>
        <v>0</v>
      </c>
      <c r="AR26" s="111">
        <f t="shared" si="101"/>
        <v>0</v>
      </c>
      <c r="AS26" s="386">
        <f t="shared" si="95"/>
        <v>12048632</v>
      </c>
      <c r="AT26" s="174">
        <f>AT27</f>
        <v>896688.76</v>
      </c>
      <c r="AU26" s="108">
        <f t="shared" ref="AU26:BB26" si="102">AU27</f>
        <v>0</v>
      </c>
      <c r="AV26" s="108">
        <f t="shared" si="102"/>
        <v>13095182</v>
      </c>
      <c r="AW26" s="108">
        <f t="shared" si="102"/>
        <v>13991870.76</v>
      </c>
      <c r="AX26" s="108">
        <f t="shared" si="102"/>
        <v>0</v>
      </c>
      <c r="AY26" s="108">
        <f t="shared" si="102"/>
        <v>5790592</v>
      </c>
      <c r="AZ26" s="108">
        <f t="shared" si="102"/>
        <v>0</v>
      </c>
      <c r="BA26" s="108">
        <f>BA27</f>
        <v>5790592</v>
      </c>
      <c r="BB26" s="284">
        <f t="shared" si="102"/>
        <v>19782462.759999998</v>
      </c>
      <c r="BC26" s="284" t="str">
        <f t="shared" si="27"/>
        <v>MATCH</v>
      </c>
      <c r="BD26" s="111">
        <f t="shared" si="101"/>
        <v>19782462.759999998</v>
      </c>
      <c r="BE26" s="383">
        <f t="shared" si="101"/>
        <v>85106972</v>
      </c>
      <c r="BF26" s="111">
        <f t="shared" si="101"/>
        <v>56215631</v>
      </c>
      <c r="BG26" s="277">
        <f t="shared" si="30"/>
        <v>0.66052909272814919</v>
      </c>
      <c r="BH26" s="251">
        <f t="shared" si="89"/>
        <v>35.687763476488897</v>
      </c>
      <c r="BI26" s="251">
        <f t="shared" si="90"/>
        <v>3.1868514340513268</v>
      </c>
      <c r="BJ26" s="251">
        <f>BD26/BL26</f>
        <v>24.314880787906617</v>
      </c>
      <c r="BK26" s="278">
        <f>BD26/BN26</f>
        <v>2.1712739930810265</v>
      </c>
      <c r="BL26" s="195">
        <f>BL27</f>
        <v>813594.89</v>
      </c>
      <c r="BM26" s="196">
        <f t="shared" ref="BM26:BN26" si="103">BM27</f>
        <v>0</v>
      </c>
      <c r="BN26" s="197">
        <f t="shared" si="103"/>
        <v>9110993.2799999993</v>
      </c>
      <c r="BO26" s="112"/>
      <c r="BP26" s="102"/>
      <c r="BQ26" s="102"/>
      <c r="BR26" s="102"/>
      <c r="BS26" s="102"/>
      <c r="BT26" s="102"/>
      <c r="BU26" s="102"/>
      <c r="BV26" s="102"/>
      <c r="BW26" s="102"/>
      <c r="BX26" s="102"/>
      <c r="BY26" s="102"/>
      <c r="BZ26" s="102"/>
      <c r="CA26" s="102"/>
      <c r="CB26" s="286"/>
    </row>
    <row r="27" spans="1:82" ht="14.25" customHeight="1" x14ac:dyDescent="0.35">
      <c r="A27" s="322" t="s">
        <v>375</v>
      </c>
      <c r="B27" s="252">
        <f>L27-G27-D27</f>
        <v>1528073</v>
      </c>
      <c r="C27" s="253">
        <v>0</v>
      </c>
      <c r="D27" s="253">
        <f>2111683+1932268+2217591+2146937+2143953+1823986+2157502+2318115+2253405+2206829</f>
        <v>21312269</v>
      </c>
      <c r="E27" s="253">
        <v>0</v>
      </c>
      <c r="F27" s="253">
        <v>0</v>
      </c>
      <c r="G27" s="253">
        <f>24659+20164+23303+218901+312931+326414+287239+354511+340054+342191+281783+265237</f>
        <v>2797387</v>
      </c>
      <c r="H27" s="253"/>
      <c r="I27" s="253"/>
      <c r="J27" s="362">
        <f t="shared" si="19"/>
        <v>25637729</v>
      </c>
      <c r="K27" s="362" t="str">
        <f t="shared" si="20"/>
        <v>MATCH</v>
      </c>
      <c r="L27" s="362">
        <v>25637729</v>
      </c>
      <c r="M27" s="252"/>
      <c r="N27" s="363">
        <f>W27</f>
        <v>3397653</v>
      </c>
      <c r="O27" s="363"/>
      <c r="P27" s="363"/>
      <c r="Q27" s="363"/>
      <c r="R27" s="363"/>
      <c r="S27" s="363"/>
      <c r="T27" s="363"/>
      <c r="U27" s="362">
        <f t="shared" si="45"/>
        <v>3397653</v>
      </c>
      <c r="V27" s="362" t="str">
        <f t="shared" si="23"/>
        <v>MATCH</v>
      </c>
      <c r="W27" s="387">
        <v>3397653</v>
      </c>
      <c r="X27" s="387">
        <f>L27+W27</f>
        <v>29035382</v>
      </c>
      <c r="Y27" s="388">
        <v>-1159360.76</v>
      </c>
      <c r="Z27" s="389">
        <v>9866831</v>
      </c>
      <c r="AA27" s="252">
        <f>AJ27</f>
        <v>12048632</v>
      </c>
      <c r="AB27" s="253"/>
      <c r="AC27" s="253"/>
      <c r="AD27" s="253"/>
      <c r="AE27" s="253"/>
      <c r="AF27" s="253"/>
      <c r="AG27" s="253"/>
      <c r="AH27" s="362">
        <f t="shared" si="11"/>
        <v>12048632</v>
      </c>
      <c r="AI27" s="362" t="str">
        <f t="shared" si="25"/>
        <v>MATCH</v>
      </c>
      <c r="AJ27" s="254">
        <v>12048632</v>
      </c>
      <c r="AK27" s="252"/>
      <c r="AL27" s="253"/>
      <c r="AM27" s="253"/>
      <c r="AN27" s="253"/>
      <c r="AO27" s="253"/>
      <c r="AP27" s="253"/>
      <c r="AQ27" s="253"/>
      <c r="AR27" s="254">
        <v>0</v>
      </c>
      <c r="AS27" s="390">
        <f t="shared" si="95"/>
        <v>12048632</v>
      </c>
      <c r="AT27" s="252">
        <v>896688.76</v>
      </c>
      <c r="AU27" s="253">
        <v>0</v>
      </c>
      <c r="AV27" s="253">
        <v>13095182</v>
      </c>
      <c r="AW27" s="253">
        <f t="shared" si="40"/>
        <v>13991870.76</v>
      </c>
      <c r="AX27" s="253">
        <v>0</v>
      </c>
      <c r="AY27" s="253">
        <v>5790592</v>
      </c>
      <c r="AZ27" s="253">
        <v>0</v>
      </c>
      <c r="BA27" s="253">
        <f t="shared" si="41"/>
        <v>5790592</v>
      </c>
      <c r="BB27" s="362">
        <f t="shared" si="13"/>
        <v>19782462.759999998</v>
      </c>
      <c r="BC27" s="362" t="str">
        <f>IF(ROUND(BB27,0)=ROUND(BD27,0),"MATCH","FIX NEEDED")</f>
        <v>MATCH</v>
      </c>
      <c r="BD27" s="254">
        <f>BA27+AW27</f>
        <v>19782462.759999998</v>
      </c>
      <c r="BE27" s="391">
        <v>85106972</v>
      </c>
      <c r="BF27" s="389">
        <v>56215631</v>
      </c>
      <c r="BG27" s="281">
        <f t="shared" ref="BG27" si="104">BF27/BE27</f>
        <v>0.66052909272814919</v>
      </c>
      <c r="BH27" s="167">
        <f t="shared" si="89"/>
        <v>35.687763476488897</v>
      </c>
      <c r="BI27" s="255">
        <f t="shared" si="90"/>
        <v>3.1868514340513268</v>
      </c>
      <c r="BJ27" s="167">
        <f t="shared" ref="BJ27" si="105">BD27/BL27</f>
        <v>24.314880787906617</v>
      </c>
      <c r="BK27" s="280">
        <f t="shared" ref="BK27" si="106">BD27/BN27</f>
        <v>2.1712739930810265</v>
      </c>
      <c r="BL27" s="209">
        <f>'GHG and Energy Use Dec'!Q26</f>
        <v>813594.89</v>
      </c>
      <c r="BM27" s="209">
        <f>'GHG and Energy Use Dec'!R26</f>
        <v>0</v>
      </c>
      <c r="BN27" s="209">
        <f>'GHG and Energy Use Dec'!S26</f>
        <v>9110993.2799999993</v>
      </c>
      <c r="BO27" s="112" t="s">
        <v>503</v>
      </c>
      <c r="BP27" s="102" t="s">
        <v>493</v>
      </c>
      <c r="BQ27" s="102" t="s">
        <v>474</v>
      </c>
      <c r="BR27" s="102" t="s">
        <v>504</v>
      </c>
      <c r="BS27" s="102" t="s">
        <v>480</v>
      </c>
      <c r="BT27" s="102" t="s">
        <v>463</v>
      </c>
      <c r="BU27" s="102" t="s">
        <v>464</v>
      </c>
      <c r="BV27" s="102" t="s">
        <v>463</v>
      </c>
      <c r="BW27" s="102" t="s">
        <v>466</v>
      </c>
      <c r="BX27" s="102" t="s">
        <v>475</v>
      </c>
      <c r="BY27" s="102" t="s">
        <v>468</v>
      </c>
      <c r="BZ27" s="102" t="s">
        <v>469</v>
      </c>
      <c r="CA27" s="102" t="s">
        <v>456</v>
      </c>
      <c r="CB27" s="286" t="s">
        <v>496</v>
      </c>
    </row>
    <row r="28" spans="1:82" ht="14.25" customHeight="1" x14ac:dyDescent="0.35">
      <c r="A28" s="321" t="s">
        <v>376</v>
      </c>
      <c r="B28" s="174">
        <f t="shared" ref="B28:I28" si="107">SUM(B29:B30)</f>
        <v>2391544.9005</v>
      </c>
      <c r="C28" s="108">
        <f t="shared" si="107"/>
        <v>198563.70360000001</v>
      </c>
      <c r="D28" s="108">
        <f t="shared" si="107"/>
        <v>3000</v>
      </c>
      <c r="E28" s="108">
        <f>SUM(E29:E30)</f>
        <v>929171.92590000003</v>
      </c>
      <c r="F28" s="108">
        <f t="shared" si="107"/>
        <v>0</v>
      </c>
      <c r="G28" s="108">
        <f t="shared" si="107"/>
        <v>0</v>
      </c>
      <c r="H28" s="108">
        <f t="shared" si="107"/>
        <v>0</v>
      </c>
      <c r="I28" s="108">
        <f t="shared" si="107"/>
        <v>0</v>
      </c>
      <c r="J28" s="284">
        <f>SUM(J29:J30)</f>
        <v>3522280.5300000003</v>
      </c>
      <c r="K28" s="284" t="str">
        <f t="shared" si="20"/>
        <v>MATCH</v>
      </c>
      <c r="L28" s="284">
        <f>SUM(L29:L30)</f>
        <v>3522280.5300000003</v>
      </c>
      <c r="M28" s="174">
        <f t="shared" ref="M28:BF28" si="108">SUM(M29:M30)</f>
        <v>0</v>
      </c>
      <c r="N28" s="126">
        <f t="shared" si="108"/>
        <v>0</v>
      </c>
      <c r="O28" s="126">
        <f t="shared" si="108"/>
        <v>0</v>
      </c>
      <c r="P28" s="126">
        <f t="shared" si="108"/>
        <v>85560</v>
      </c>
      <c r="Q28" s="126">
        <f t="shared" si="108"/>
        <v>0</v>
      </c>
      <c r="R28" s="126">
        <f t="shared" si="108"/>
        <v>0</v>
      </c>
      <c r="S28" s="126">
        <f t="shared" si="108"/>
        <v>0</v>
      </c>
      <c r="T28" s="126">
        <f t="shared" si="108"/>
        <v>0</v>
      </c>
      <c r="U28" s="284">
        <f t="shared" si="45"/>
        <v>85560</v>
      </c>
      <c r="V28" s="284" t="str">
        <f t="shared" si="23"/>
        <v>MATCH</v>
      </c>
      <c r="W28" s="383">
        <f t="shared" si="108"/>
        <v>85560</v>
      </c>
      <c r="X28" s="383">
        <f t="shared" si="108"/>
        <v>3607840.5300000003</v>
      </c>
      <c r="Y28" s="384">
        <f t="shared" si="108"/>
        <v>293454.28000000003</v>
      </c>
      <c r="Z28" s="385">
        <f t="shared" si="108"/>
        <v>3522587.38</v>
      </c>
      <c r="AA28" s="174">
        <f t="shared" si="108"/>
        <v>1451709.41</v>
      </c>
      <c r="AB28" s="108">
        <f t="shared" si="108"/>
        <v>0</v>
      </c>
      <c r="AC28" s="108">
        <f t="shared" si="108"/>
        <v>0</v>
      </c>
      <c r="AD28" s="108">
        <f t="shared" si="108"/>
        <v>0</v>
      </c>
      <c r="AE28" s="108">
        <f t="shared" si="108"/>
        <v>0</v>
      </c>
      <c r="AF28" s="108">
        <f t="shared" si="108"/>
        <v>0</v>
      </c>
      <c r="AG28" s="108">
        <f t="shared" si="108"/>
        <v>1164039</v>
      </c>
      <c r="AH28" s="284">
        <f t="shared" si="11"/>
        <v>2615748.41</v>
      </c>
      <c r="AI28" s="284" t="str">
        <f t="shared" si="25"/>
        <v>MATCH</v>
      </c>
      <c r="AJ28" s="111">
        <f t="shared" si="108"/>
        <v>2615748.41</v>
      </c>
      <c r="AK28" s="174">
        <f t="shared" si="108"/>
        <v>0</v>
      </c>
      <c r="AL28" s="108">
        <f t="shared" si="108"/>
        <v>0</v>
      </c>
      <c r="AM28" s="108">
        <f t="shared" si="108"/>
        <v>0</v>
      </c>
      <c r="AN28" s="108">
        <f t="shared" si="108"/>
        <v>0</v>
      </c>
      <c r="AO28" s="108">
        <f t="shared" si="108"/>
        <v>0</v>
      </c>
      <c r="AP28" s="108">
        <f t="shared" si="108"/>
        <v>0</v>
      </c>
      <c r="AQ28" s="108">
        <f t="shared" si="108"/>
        <v>0</v>
      </c>
      <c r="AR28" s="111">
        <f t="shared" si="108"/>
        <v>0</v>
      </c>
      <c r="AS28" s="386">
        <f t="shared" si="95"/>
        <v>2615748.41</v>
      </c>
      <c r="AT28" s="174">
        <f>SUM(AT29:AT30)</f>
        <v>621291.29</v>
      </c>
      <c r="AU28" s="108">
        <f t="shared" ref="AU28:BB28" si="109">SUM(AU29:AU30)</f>
        <v>31801</v>
      </c>
      <c r="AV28" s="108">
        <f t="shared" si="109"/>
        <v>45545.56</v>
      </c>
      <c r="AW28" s="108">
        <f t="shared" si="109"/>
        <v>698637.85</v>
      </c>
      <c r="AX28" s="108">
        <f t="shared" si="109"/>
        <v>0</v>
      </c>
      <c r="AY28" s="108">
        <f t="shared" si="109"/>
        <v>0</v>
      </c>
      <c r="AZ28" s="108">
        <f t="shared" si="109"/>
        <v>0</v>
      </c>
      <c r="BA28" s="108">
        <f t="shared" si="109"/>
        <v>0</v>
      </c>
      <c r="BB28" s="284">
        <f t="shared" si="109"/>
        <v>698637.85</v>
      </c>
      <c r="BC28" s="284" t="str">
        <f t="shared" si="27"/>
        <v>MATCH</v>
      </c>
      <c r="BD28" s="111">
        <f t="shared" si="108"/>
        <v>698637.85</v>
      </c>
      <c r="BE28" s="383">
        <f t="shared" si="108"/>
        <v>49682155.020000003</v>
      </c>
      <c r="BF28" s="111">
        <f t="shared" si="108"/>
        <v>47704550.489999995</v>
      </c>
      <c r="BG28" s="277">
        <f t="shared" si="30"/>
        <v>0.96019487219900368</v>
      </c>
      <c r="BH28" s="251">
        <f t="shared" si="89"/>
        <v>84.582663632371748</v>
      </c>
      <c r="BI28" s="277" t="s">
        <v>505</v>
      </c>
      <c r="BJ28" s="251">
        <f>BD28/BL28</f>
        <v>16.378952943187148</v>
      </c>
      <c r="BK28" s="277" t="s">
        <v>505</v>
      </c>
      <c r="BL28" s="195">
        <f>SUM(BL29:BL30)</f>
        <v>42654.61</v>
      </c>
      <c r="BM28" s="196">
        <f t="shared" ref="BM28:BN28" si="110">SUM(BM29:BM30)</f>
        <v>0</v>
      </c>
      <c r="BN28" s="197">
        <f t="shared" si="110"/>
        <v>0</v>
      </c>
      <c r="BO28" s="112"/>
      <c r="BP28" s="102"/>
      <c r="BQ28" s="102"/>
      <c r="BR28" s="102"/>
      <c r="BS28" s="102"/>
      <c r="BT28" s="102"/>
      <c r="BU28" s="102"/>
      <c r="BV28" s="102"/>
      <c r="BW28" s="102"/>
      <c r="BX28" s="102"/>
      <c r="BY28" s="102"/>
      <c r="BZ28" s="102"/>
      <c r="CA28" s="102"/>
      <c r="CB28" s="286"/>
    </row>
    <row r="29" spans="1:82" ht="14.25" customHeight="1" x14ac:dyDescent="0.35">
      <c r="A29" s="319" t="s">
        <v>377</v>
      </c>
      <c r="B29" s="252">
        <f>L29*0.85</f>
        <v>1406492.9005</v>
      </c>
      <c r="C29" s="253">
        <f>L29*0.12</f>
        <v>198563.70360000001</v>
      </c>
      <c r="D29" s="253">
        <v>3000</v>
      </c>
      <c r="E29" s="253">
        <f>L29-B29-C29-D29</f>
        <v>46640.925900000031</v>
      </c>
      <c r="F29" s="253"/>
      <c r="G29" s="253"/>
      <c r="H29" s="253"/>
      <c r="I29" s="253"/>
      <c r="J29" s="362">
        <f t="shared" si="19"/>
        <v>1654697.5300000003</v>
      </c>
      <c r="K29" s="362" t="str">
        <f t="shared" si="20"/>
        <v>MATCH</v>
      </c>
      <c r="L29" s="362">
        <v>1654697.53</v>
      </c>
      <c r="M29" s="252"/>
      <c r="N29" s="363"/>
      <c r="O29" s="363"/>
      <c r="P29" s="363">
        <v>0</v>
      </c>
      <c r="Q29" s="363"/>
      <c r="R29" s="363"/>
      <c r="S29" s="363"/>
      <c r="T29" s="363"/>
      <c r="U29" s="362">
        <f t="shared" si="45"/>
        <v>0</v>
      </c>
      <c r="V29" s="362" t="str">
        <f t="shared" si="23"/>
        <v>MATCH</v>
      </c>
      <c r="W29" s="387">
        <v>0</v>
      </c>
      <c r="X29" s="387">
        <f>L29+W29</f>
        <v>1654697.53</v>
      </c>
      <c r="Y29" s="388">
        <v>152062.28</v>
      </c>
      <c r="Z29" s="389">
        <v>1808977.38</v>
      </c>
      <c r="AA29" s="252">
        <f>AJ29</f>
        <v>1377596.41</v>
      </c>
      <c r="AB29" s="253"/>
      <c r="AC29" s="253"/>
      <c r="AD29" s="253"/>
      <c r="AE29" s="253"/>
      <c r="AF29" s="253"/>
      <c r="AG29" s="253"/>
      <c r="AH29" s="362">
        <f t="shared" si="11"/>
        <v>1377596.41</v>
      </c>
      <c r="AI29" s="362" t="str">
        <f t="shared" si="25"/>
        <v>MATCH</v>
      </c>
      <c r="AJ29" s="254">
        <v>1377596.41</v>
      </c>
      <c r="AK29" s="252"/>
      <c r="AL29" s="253"/>
      <c r="AM29" s="253"/>
      <c r="AN29" s="253"/>
      <c r="AO29" s="253"/>
      <c r="AP29" s="253"/>
      <c r="AQ29" s="253"/>
      <c r="AR29" s="254">
        <v>0</v>
      </c>
      <c r="AS29" s="390">
        <f t="shared" si="95"/>
        <v>1377596.41</v>
      </c>
      <c r="AT29" s="252">
        <v>104086.29</v>
      </c>
      <c r="AU29" s="253">
        <v>0</v>
      </c>
      <c r="AV29" s="253">
        <v>20952.560000000001</v>
      </c>
      <c r="AW29" s="253">
        <f t="shared" si="40"/>
        <v>125038.84999999999</v>
      </c>
      <c r="AX29" s="253"/>
      <c r="AY29" s="253"/>
      <c r="AZ29" s="253"/>
      <c r="BA29" s="253">
        <f t="shared" si="41"/>
        <v>0</v>
      </c>
      <c r="BB29" s="362">
        <f t="shared" si="13"/>
        <v>125038.84999999999</v>
      </c>
      <c r="BC29" s="362" t="str">
        <f t="shared" si="27"/>
        <v>MATCH</v>
      </c>
      <c r="BD29" s="254">
        <f>BA29+AW29</f>
        <v>125038.84999999999</v>
      </c>
      <c r="BE29" s="391">
        <v>34564552.020000003</v>
      </c>
      <c r="BF29" s="389">
        <v>32909854.489999998</v>
      </c>
      <c r="BG29" s="281">
        <f t="shared" si="30"/>
        <v>0.95212732602341987</v>
      </c>
      <c r="BH29" s="167">
        <f t="shared" si="89"/>
        <v>105.14928717357252</v>
      </c>
      <c r="BI29" s="255" t="s">
        <v>505</v>
      </c>
      <c r="BJ29" s="167">
        <f t="shared" ref="BJ29" si="111">BD29/BL29</f>
        <v>7.9457095379257972</v>
      </c>
      <c r="BK29" s="255" t="s">
        <v>505</v>
      </c>
      <c r="BL29" s="209">
        <f>'GHG and Energy Use Dec'!Q28</f>
        <v>15736.65</v>
      </c>
      <c r="BM29" s="209">
        <f>'GHG and Energy Use Dec'!R28</f>
        <v>0</v>
      </c>
      <c r="BN29" s="209">
        <f>'GHG and Energy Use Dec'!S28</f>
        <v>0</v>
      </c>
      <c r="BO29" s="112" t="s">
        <v>506</v>
      </c>
      <c r="BP29" s="102" t="s">
        <v>493</v>
      </c>
      <c r="BQ29" s="102" t="s">
        <v>474</v>
      </c>
      <c r="BR29" s="102" t="s">
        <v>504</v>
      </c>
      <c r="BS29" s="102" t="s">
        <v>479</v>
      </c>
      <c r="BT29" s="102" t="s">
        <v>465</v>
      </c>
      <c r="BU29" s="102" t="s">
        <v>464</v>
      </c>
      <c r="BV29" s="102" t="s">
        <v>463</v>
      </c>
      <c r="BW29" s="102" t="s">
        <v>467</v>
      </c>
      <c r="BX29" s="102" t="s">
        <v>466</v>
      </c>
      <c r="BY29" s="102" t="s">
        <v>468</v>
      </c>
      <c r="BZ29" s="102" t="s">
        <v>481</v>
      </c>
      <c r="CA29" s="102" t="s">
        <v>456</v>
      </c>
      <c r="CB29" s="286" t="s">
        <v>496</v>
      </c>
    </row>
    <row r="30" spans="1:82" ht="14.25" customHeight="1" x14ac:dyDescent="0.35">
      <c r="A30" s="319" t="s">
        <v>507</v>
      </c>
      <c r="B30" s="252">
        <f>165748+54373+131361+99654+37242+33194+33189+29197+34008+112714+120388+133984</f>
        <v>985052</v>
      </c>
      <c r="C30" s="253">
        <v>0</v>
      </c>
      <c r="D30" s="253">
        <v>0</v>
      </c>
      <c r="E30" s="253">
        <f>L30-B30</f>
        <v>882531</v>
      </c>
      <c r="F30" s="253">
        <v>0</v>
      </c>
      <c r="G30" s="253"/>
      <c r="H30" s="253"/>
      <c r="I30" s="253"/>
      <c r="J30" s="362">
        <f t="shared" si="19"/>
        <v>1867583</v>
      </c>
      <c r="K30" s="362" t="str">
        <f t="shared" si="20"/>
        <v>MATCH</v>
      </c>
      <c r="L30" s="362">
        <v>1867583</v>
      </c>
      <c r="M30" s="252">
        <v>0</v>
      </c>
      <c r="N30" s="363">
        <v>0</v>
      </c>
      <c r="O30" s="363">
        <v>0</v>
      </c>
      <c r="P30" s="363">
        <f>W30</f>
        <v>85560</v>
      </c>
      <c r="Q30" s="363"/>
      <c r="R30" s="363"/>
      <c r="S30" s="363"/>
      <c r="T30" s="363"/>
      <c r="U30" s="362">
        <f t="shared" si="45"/>
        <v>85560</v>
      </c>
      <c r="V30" s="362" t="str">
        <f t="shared" si="23"/>
        <v>MATCH</v>
      </c>
      <c r="W30" s="387">
        <v>85560</v>
      </c>
      <c r="X30" s="387">
        <f>L30+W30</f>
        <v>1953143</v>
      </c>
      <c r="Y30" s="388">
        <v>141392</v>
      </c>
      <c r="Z30" s="389">
        <v>1713610</v>
      </c>
      <c r="AA30" s="252">
        <f>41851+32262</f>
        <v>74113</v>
      </c>
      <c r="AB30" s="253"/>
      <c r="AC30" s="253"/>
      <c r="AD30" s="253"/>
      <c r="AE30" s="253"/>
      <c r="AF30" s="253"/>
      <c r="AG30" s="253">
        <f>AJ30-AA30</f>
        <v>1164039</v>
      </c>
      <c r="AH30" s="362">
        <f t="shared" si="11"/>
        <v>1238152</v>
      </c>
      <c r="AI30" s="362" t="str">
        <f t="shared" si="25"/>
        <v>MATCH</v>
      </c>
      <c r="AJ30" s="254">
        <v>1238152</v>
      </c>
      <c r="AK30" s="252"/>
      <c r="AL30" s="253"/>
      <c r="AM30" s="253"/>
      <c r="AN30" s="253"/>
      <c r="AO30" s="253"/>
      <c r="AP30" s="253"/>
      <c r="AQ30" s="253"/>
      <c r="AR30" s="254">
        <v>0</v>
      </c>
      <c r="AS30" s="390">
        <f t="shared" si="95"/>
        <v>1238152</v>
      </c>
      <c r="AT30" s="252">
        <v>517205</v>
      </c>
      <c r="AU30" s="253">
        <v>31801</v>
      </c>
      <c r="AV30" s="253">
        <v>24593</v>
      </c>
      <c r="AW30" s="253">
        <f t="shared" si="40"/>
        <v>573599</v>
      </c>
      <c r="AX30" s="253"/>
      <c r="AY30" s="253"/>
      <c r="AZ30" s="253"/>
      <c r="BA30" s="253">
        <f t="shared" si="41"/>
        <v>0</v>
      </c>
      <c r="BB30" s="362">
        <f t="shared" si="13"/>
        <v>573599</v>
      </c>
      <c r="BC30" s="362" t="str">
        <f t="shared" si="27"/>
        <v>MATCH</v>
      </c>
      <c r="BD30" s="254">
        <f>BA30+AW30</f>
        <v>573599</v>
      </c>
      <c r="BE30" s="391">
        <v>15117603</v>
      </c>
      <c r="BF30" s="389">
        <v>14794696</v>
      </c>
      <c r="BG30" s="281">
        <f t="shared" ref="BG30" si="112">BF30/BE30</f>
        <v>0.97864033074555534</v>
      </c>
      <c r="BH30" s="167">
        <f t="shared" si="89"/>
        <v>72.559101804148611</v>
      </c>
      <c r="BI30" s="255" t="s">
        <v>505</v>
      </c>
      <c r="BJ30" s="167">
        <f t="shared" ref="BJ30" si="113">BD30/BL30</f>
        <v>21.309155671529343</v>
      </c>
      <c r="BK30" s="255" t="s">
        <v>505</v>
      </c>
      <c r="BL30" s="209">
        <f>'GHG and Energy Use Dec'!Q29</f>
        <v>26917.96</v>
      </c>
      <c r="BM30" s="209">
        <f>'GHG and Energy Use Dec'!R29</f>
        <v>0</v>
      </c>
      <c r="BN30" s="209">
        <f>'GHG and Energy Use Dec'!S29</f>
        <v>0</v>
      </c>
      <c r="BO30" s="112" t="s">
        <v>508</v>
      </c>
      <c r="BP30" s="102" t="s">
        <v>493</v>
      </c>
      <c r="BQ30" s="102" t="s">
        <v>474</v>
      </c>
      <c r="BR30" s="102" t="s">
        <v>504</v>
      </c>
      <c r="BS30" s="102" t="s">
        <v>479</v>
      </c>
      <c r="BT30" s="102" t="s">
        <v>509</v>
      </c>
      <c r="BU30" s="102" t="s">
        <v>464</v>
      </c>
      <c r="BV30" s="102" t="s">
        <v>465</v>
      </c>
      <c r="BW30" s="102" t="s">
        <v>466</v>
      </c>
      <c r="BX30" s="102" t="s">
        <v>475</v>
      </c>
      <c r="BY30" s="102" t="s">
        <v>468</v>
      </c>
      <c r="BZ30" s="102" t="s">
        <v>469</v>
      </c>
      <c r="CA30" s="102" t="s">
        <v>456</v>
      </c>
      <c r="CB30" s="286" t="s">
        <v>496</v>
      </c>
    </row>
    <row r="31" spans="1:82" ht="14.25" customHeight="1" x14ac:dyDescent="0.35">
      <c r="A31" s="318" t="s">
        <v>379</v>
      </c>
      <c r="B31" s="174">
        <f>B32</f>
        <v>0</v>
      </c>
      <c r="C31" s="108">
        <f>C32</f>
        <v>2370956.64</v>
      </c>
      <c r="D31" s="108">
        <f t="shared" ref="D31:I31" si="114">D32</f>
        <v>0</v>
      </c>
      <c r="E31" s="108">
        <f>E32</f>
        <v>0</v>
      </c>
      <c r="F31" s="108">
        <f t="shared" si="114"/>
        <v>0</v>
      </c>
      <c r="G31" s="108">
        <f t="shared" si="114"/>
        <v>0</v>
      </c>
      <c r="H31" s="108">
        <f t="shared" si="114"/>
        <v>0</v>
      </c>
      <c r="I31" s="108">
        <f t="shared" si="114"/>
        <v>0</v>
      </c>
      <c r="J31" s="284">
        <f t="shared" si="19"/>
        <v>2370956.64</v>
      </c>
      <c r="K31" s="284" t="str">
        <f t="shared" si="20"/>
        <v>MATCH</v>
      </c>
      <c r="L31" s="284">
        <f t="shared" ref="L31:BF31" si="115">L32</f>
        <v>2370956.64</v>
      </c>
      <c r="M31" s="174">
        <f t="shared" si="115"/>
        <v>0</v>
      </c>
      <c r="N31" s="126">
        <f t="shared" si="115"/>
        <v>0</v>
      </c>
      <c r="O31" s="126">
        <f t="shared" si="115"/>
        <v>0</v>
      </c>
      <c r="P31" s="126">
        <f t="shared" si="115"/>
        <v>0</v>
      </c>
      <c r="Q31" s="126">
        <f t="shared" si="115"/>
        <v>0</v>
      </c>
      <c r="R31" s="126">
        <f t="shared" si="115"/>
        <v>0</v>
      </c>
      <c r="S31" s="126">
        <f t="shared" si="115"/>
        <v>0</v>
      </c>
      <c r="T31" s="126">
        <f t="shared" si="115"/>
        <v>0</v>
      </c>
      <c r="U31" s="284">
        <f t="shared" si="45"/>
        <v>0</v>
      </c>
      <c r="V31" s="284" t="str">
        <f t="shared" si="23"/>
        <v>MATCH</v>
      </c>
      <c r="W31" s="383">
        <f t="shared" si="115"/>
        <v>0</v>
      </c>
      <c r="X31" s="383">
        <f t="shared" si="115"/>
        <v>2370956.64</v>
      </c>
      <c r="Y31" s="384">
        <f t="shared" si="115"/>
        <v>-1436037.4</v>
      </c>
      <c r="Z31" s="385">
        <f t="shared" si="115"/>
        <v>0</v>
      </c>
      <c r="AA31" s="174">
        <f t="shared" si="115"/>
        <v>0</v>
      </c>
      <c r="AB31" s="108">
        <f t="shared" si="115"/>
        <v>0</v>
      </c>
      <c r="AC31" s="108">
        <f t="shared" si="115"/>
        <v>0</v>
      </c>
      <c r="AD31" s="108">
        <f t="shared" si="115"/>
        <v>0</v>
      </c>
      <c r="AE31" s="108">
        <f t="shared" si="115"/>
        <v>0</v>
      </c>
      <c r="AF31" s="108">
        <f t="shared" si="115"/>
        <v>0</v>
      </c>
      <c r="AG31" s="108">
        <f t="shared" si="115"/>
        <v>3110400</v>
      </c>
      <c r="AH31" s="284">
        <f t="shared" si="11"/>
        <v>3110400</v>
      </c>
      <c r="AI31" s="284" t="str">
        <f t="shared" si="25"/>
        <v>MATCH</v>
      </c>
      <c r="AJ31" s="111">
        <f t="shared" si="115"/>
        <v>3110400</v>
      </c>
      <c r="AK31" s="174">
        <f t="shared" si="115"/>
        <v>202829</v>
      </c>
      <c r="AL31" s="108">
        <f t="shared" si="115"/>
        <v>0</v>
      </c>
      <c r="AM31" s="108">
        <f t="shared" si="115"/>
        <v>0</v>
      </c>
      <c r="AN31" s="108">
        <f t="shared" si="115"/>
        <v>0</v>
      </c>
      <c r="AO31" s="108">
        <f t="shared" si="115"/>
        <v>0</v>
      </c>
      <c r="AP31" s="108">
        <f t="shared" si="115"/>
        <v>0</v>
      </c>
      <c r="AQ31" s="108">
        <f t="shared" si="115"/>
        <v>0</v>
      </c>
      <c r="AR31" s="111">
        <f t="shared" si="115"/>
        <v>202829</v>
      </c>
      <c r="AS31" s="386">
        <f t="shared" si="95"/>
        <v>3313229</v>
      </c>
      <c r="AT31" s="174">
        <f>AT32</f>
        <v>0</v>
      </c>
      <c r="AU31" s="108">
        <f t="shared" ref="AU31:BB31" si="116">AU32</f>
        <v>0</v>
      </c>
      <c r="AV31" s="108">
        <f t="shared" si="116"/>
        <v>0</v>
      </c>
      <c r="AW31" s="108">
        <f t="shared" si="116"/>
        <v>0</v>
      </c>
      <c r="AX31" s="108">
        <f t="shared" si="116"/>
        <v>0</v>
      </c>
      <c r="AY31" s="108">
        <f t="shared" si="116"/>
        <v>0</v>
      </c>
      <c r="AZ31" s="108">
        <f t="shared" si="116"/>
        <v>0</v>
      </c>
      <c r="BA31" s="108">
        <f t="shared" si="116"/>
        <v>0</v>
      </c>
      <c r="BB31" s="284">
        <f t="shared" si="116"/>
        <v>0</v>
      </c>
      <c r="BC31" s="284" t="str">
        <f t="shared" si="27"/>
        <v>MATCH</v>
      </c>
      <c r="BD31" s="111">
        <f t="shared" si="115"/>
        <v>0</v>
      </c>
      <c r="BE31" s="383">
        <f t="shared" si="115"/>
        <v>2370956.2799999998</v>
      </c>
      <c r="BF31" s="111">
        <f t="shared" si="115"/>
        <v>0</v>
      </c>
      <c r="BG31" s="277">
        <f t="shared" si="30"/>
        <v>0</v>
      </c>
      <c r="BH31" s="277" t="s">
        <v>505</v>
      </c>
      <c r="BI31" s="277" t="s">
        <v>505</v>
      </c>
      <c r="BJ31" s="277" t="s">
        <v>505</v>
      </c>
      <c r="BK31" s="277" t="s">
        <v>505</v>
      </c>
      <c r="BL31" s="195">
        <f>BL32</f>
        <v>0</v>
      </c>
      <c r="BM31" s="196">
        <f t="shared" ref="BM31:BN31" si="117">BM32</f>
        <v>0</v>
      </c>
      <c r="BN31" s="197">
        <f t="shared" si="117"/>
        <v>0</v>
      </c>
      <c r="BO31" s="112"/>
      <c r="BP31" s="102"/>
      <c r="BQ31" s="102"/>
      <c r="BR31" s="102"/>
      <c r="BS31" s="102"/>
      <c r="BT31" s="102"/>
      <c r="BU31" s="102"/>
      <c r="BV31" s="102"/>
      <c r="BW31" s="102"/>
      <c r="BX31" s="102"/>
      <c r="BY31" s="102"/>
      <c r="BZ31" s="102"/>
      <c r="CA31" s="102"/>
      <c r="CB31" s="286"/>
    </row>
    <row r="32" spans="1:82" ht="14.25" customHeight="1" x14ac:dyDescent="0.35">
      <c r="A32" s="319" t="s">
        <v>380</v>
      </c>
      <c r="B32" s="252"/>
      <c r="C32" s="253">
        <f>L32</f>
        <v>2370956.64</v>
      </c>
      <c r="D32" s="253"/>
      <c r="E32" s="253"/>
      <c r="F32" s="253"/>
      <c r="G32" s="253"/>
      <c r="H32" s="253"/>
      <c r="I32" s="253"/>
      <c r="J32" s="362">
        <f t="shared" si="19"/>
        <v>2370956.64</v>
      </c>
      <c r="K32" s="362" t="str">
        <f t="shared" si="20"/>
        <v>MATCH</v>
      </c>
      <c r="L32" s="362">
        <v>2370956.64</v>
      </c>
      <c r="M32" s="252"/>
      <c r="N32" s="363"/>
      <c r="O32" s="363"/>
      <c r="P32" s="363"/>
      <c r="Q32" s="363"/>
      <c r="R32" s="363"/>
      <c r="S32" s="363"/>
      <c r="T32" s="363"/>
      <c r="U32" s="362">
        <f t="shared" si="45"/>
        <v>0</v>
      </c>
      <c r="V32" s="362" t="str">
        <f t="shared" si="23"/>
        <v>MATCH</v>
      </c>
      <c r="W32" s="387">
        <v>0</v>
      </c>
      <c r="X32" s="387">
        <f>L32+W32</f>
        <v>2370956.64</v>
      </c>
      <c r="Y32" s="388">
        <v>-1436037.4</v>
      </c>
      <c r="Z32" s="389">
        <v>0</v>
      </c>
      <c r="AA32" s="252">
        <f>AJ32-AG32</f>
        <v>0</v>
      </c>
      <c r="AB32" s="253"/>
      <c r="AC32" s="253"/>
      <c r="AD32" s="253"/>
      <c r="AE32" s="253"/>
      <c r="AF32" s="253"/>
      <c r="AG32" s="253">
        <f>259200*12</f>
        <v>3110400</v>
      </c>
      <c r="AH32" s="362">
        <f t="shared" si="11"/>
        <v>3110400</v>
      </c>
      <c r="AI32" s="362" t="str">
        <f t="shared" si="25"/>
        <v>MATCH</v>
      </c>
      <c r="AJ32" s="254">
        <v>3110400</v>
      </c>
      <c r="AK32" s="252">
        <f>AR32</f>
        <v>202829</v>
      </c>
      <c r="AL32" s="253"/>
      <c r="AM32" s="253"/>
      <c r="AN32" s="253"/>
      <c r="AO32" s="253"/>
      <c r="AP32" s="253"/>
      <c r="AQ32" s="253"/>
      <c r="AR32" s="254">
        <v>202829</v>
      </c>
      <c r="AS32" s="390">
        <f t="shared" si="95"/>
        <v>3313229</v>
      </c>
      <c r="AT32" s="252">
        <v>0</v>
      </c>
      <c r="AU32" s="253">
        <v>0</v>
      </c>
      <c r="AV32" s="253">
        <v>0</v>
      </c>
      <c r="AW32" s="253">
        <f t="shared" si="40"/>
        <v>0</v>
      </c>
      <c r="AX32" s="253"/>
      <c r="AY32" s="253"/>
      <c r="AZ32" s="253"/>
      <c r="BA32" s="253">
        <f t="shared" si="41"/>
        <v>0</v>
      </c>
      <c r="BB32" s="362">
        <f t="shared" si="13"/>
        <v>0</v>
      </c>
      <c r="BC32" s="362" t="str">
        <f t="shared" si="27"/>
        <v>MATCH</v>
      </c>
      <c r="BD32" s="254">
        <f>BA32+AW32</f>
        <v>0</v>
      </c>
      <c r="BE32" s="391">
        <v>2370956.2799999998</v>
      </c>
      <c r="BF32" s="389">
        <v>0</v>
      </c>
      <c r="BG32" s="281">
        <f t="shared" si="30"/>
        <v>0</v>
      </c>
      <c r="BH32" s="255" t="s">
        <v>505</v>
      </c>
      <c r="BI32" s="255" t="s">
        <v>505</v>
      </c>
      <c r="BJ32" s="255" t="s">
        <v>505</v>
      </c>
      <c r="BK32" s="255" t="s">
        <v>505</v>
      </c>
      <c r="BL32" s="209">
        <f>'GHG and Energy Use Dec'!Q31</f>
        <v>0</v>
      </c>
      <c r="BM32" s="209">
        <f>'GHG and Energy Use Dec'!R31</f>
        <v>0</v>
      </c>
      <c r="BN32" s="209">
        <f>'GHG and Energy Use Dec'!S31</f>
        <v>0</v>
      </c>
      <c r="BO32" s="112" t="s">
        <v>510</v>
      </c>
      <c r="BP32" s="102" t="s">
        <v>483</v>
      </c>
      <c r="BQ32" s="102" t="s">
        <v>511</v>
      </c>
      <c r="BR32" s="102" t="s">
        <v>461</v>
      </c>
      <c r="BS32" s="102" t="s">
        <v>479</v>
      </c>
      <c r="BT32" s="102" t="s">
        <v>485</v>
      </c>
      <c r="BU32" s="102" t="s">
        <v>464</v>
      </c>
      <c r="BV32" s="102" t="s">
        <v>463</v>
      </c>
      <c r="BW32" s="102" t="s">
        <v>467</v>
      </c>
      <c r="BX32" s="102" t="s">
        <v>466</v>
      </c>
      <c r="BY32" s="102" t="s">
        <v>468</v>
      </c>
      <c r="BZ32" s="102" t="s">
        <v>469</v>
      </c>
      <c r="CA32" s="102" t="s">
        <v>470</v>
      </c>
      <c r="CB32" s="286" t="s">
        <v>512</v>
      </c>
    </row>
    <row r="33" spans="1:82" s="13" customFormat="1" ht="14.25" customHeight="1" x14ac:dyDescent="0.35">
      <c r="A33" s="317" t="s">
        <v>381</v>
      </c>
      <c r="B33" s="172">
        <f>B34+B40</f>
        <v>3602843.2408000003</v>
      </c>
      <c r="C33" s="104">
        <f t="shared" ref="C33:I33" si="118">C34+C40</f>
        <v>464016.76919999998</v>
      </c>
      <c r="D33" s="104">
        <f t="shared" si="118"/>
        <v>0</v>
      </c>
      <c r="E33" s="104">
        <f>E34+E40</f>
        <v>17146745.810000002</v>
      </c>
      <c r="F33" s="104">
        <f t="shared" si="118"/>
        <v>17958934</v>
      </c>
      <c r="G33" s="104">
        <f t="shared" si="118"/>
        <v>0</v>
      </c>
      <c r="H33" s="104">
        <f t="shared" si="118"/>
        <v>12</v>
      </c>
      <c r="I33" s="104">
        <f t="shared" si="118"/>
        <v>0</v>
      </c>
      <c r="J33" s="283">
        <f t="shared" si="19"/>
        <v>39172551.820000008</v>
      </c>
      <c r="K33" s="283" t="str">
        <f t="shared" si="20"/>
        <v>MATCH</v>
      </c>
      <c r="L33" s="283">
        <f>L34+L40</f>
        <v>39172551.819999993</v>
      </c>
      <c r="M33" s="172">
        <f t="shared" ref="M33:T33" si="119">M34+M40</f>
        <v>37273.126499999998</v>
      </c>
      <c r="N33" s="115">
        <f t="shared" si="119"/>
        <v>36284</v>
      </c>
      <c r="O33" s="115">
        <f t="shared" si="119"/>
        <v>2842226</v>
      </c>
      <c r="P33" s="115">
        <f t="shared" si="119"/>
        <v>0</v>
      </c>
      <c r="Q33" s="115">
        <f t="shared" si="119"/>
        <v>1961.7435000000041</v>
      </c>
      <c r="R33" s="115">
        <f t="shared" si="119"/>
        <v>0</v>
      </c>
      <c r="S33" s="115">
        <f t="shared" si="119"/>
        <v>0</v>
      </c>
      <c r="T33" s="115">
        <f t="shared" si="119"/>
        <v>0</v>
      </c>
      <c r="U33" s="283">
        <f t="shared" si="45"/>
        <v>2917744.8699999996</v>
      </c>
      <c r="V33" s="283" t="str">
        <f t="shared" si="23"/>
        <v>MATCH</v>
      </c>
      <c r="W33" s="379">
        <f t="shared" ref="W33:BF33" si="120">W34+W40</f>
        <v>2917744.87</v>
      </c>
      <c r="X33" s="379">
        <f t="shared" si="120"/>
        <v>42090296.689999998</v>
      </c>
      <c r="Y33" s="380">
        <f t="shared" si="120"/>
        <v>-9448070.2400000002</v>
      </c>
      <c r="Z33" s="381">
        <f t="shared" si="120"/>
        <v>103779720.48</v>
      </c>
      <c r="AA33" s="172">
        <f t="shared" si="120"/>
        <v>1485828</v>
      </c>
      <c r="AB33" s="104">
        <f t="shared" si="120"/>
        <v>0</v>
      </c>
      <c r="AC33" s="104">
        <f t="shared" si="120"/>
        <v>0</v>
      </c>
      <c r="AD33" s="104">
        <f t="shared" si="120"/>
        <v>3751747</v>
      </c>
      <c r="AE33" s="104">
        <f t="shared" si="120"/>
        <v>0</v>
      </c>
      <c r="AF33" s="104">
        <f t="shared" si="120"/>
        <v>0</v>
      </c>
      <c r="AG33" s="104">
        <f t="shared" si="120"/>
        <v>0</v>
      </c>
      <c r="AH33" s="283">
        <f t="shared" si="11"/>
        <v>5237575</v>
      </c>
      <c r="AI33" s="283" t="str">
        <f t="shared" si="25"/>
        <v>MATCH</v>
      </c>
      <c r="AJ33" s="114">
        <f t="shared" si="120"/>
        <v>5237575</v>
      </c>
      <c r="AK33" s="172">
        <f t="shared" si="120"/>
        <v>0</v>
      </c>
      <c r="AL33" s="104">
        <f t="shared" si="120"/>
        <v>0</v>
      </c>
      <c r="AM33" s="104">
        <f t="shared" si="120"/>
        <v>76224</v>
      </c>
      <c r="AN33" s="104">
        <f t="shared" si="120"/>
        <v>0</v>
      </c>
      <c r="AO33" s="104">
        <f t="shared" si="120"/>
        <v>0</v>
      </c>
      <c r="AP33" s="104">
        <f t="shared" si="120"/>
        <v>0</v>
      </c>
      <c r="AQ33" s="104">
        <f t="shared" si="120"/>
        <v>0</v>
      </c>
      <c r="AR33" s="114">
        <f t="shared" si="120"/>
        <v>75603</v>
      </c>
      <c r="AS33" s="382">
        <f t="shared" si="95"/>
        <v>5313178</v>
      </c>
      <c r="AT33" s="172">
        <f t="shared" ref="AT33:BA33" si="121">AT34+AT40</f>
        <v>9956105.7699999996</v>
      </c>
      <c r="AU33" s="104">
        <f t="shared" si="121"/>
        <v>5807246.3100000005</v>
      </c>
      <c r="AV33" s="104">
        <f t="shared" si="121"/>
        <v>596738</v>
      </c>
      <c r="AW33" s="104">
        <f t="shared" si="121"/>
        <v>16360090.08</v>
      </c>
      <c r="AX33" s="104">
        <f t="shared" si="121"/>
        <v>8336375.7200000007</v>
      </c>
      <c r="AY33" s="104">
        <f t="shared" si="121"/>
        <v>18559320.800000001</v>
      </c>
      <c r="AZ33" s="104">
        <f t="shared" si="121"/>
        <v>989307</v>
      </c>
      <c r="BA33" s="104">
        <f t="shared" si="121"/>
        <v>27885003.52</v>
      </c>
      <c r="BB33" s="283">
        <f t="shared" si="13"/>
        <v>44245093.600000001</v>
      </c>
      <c r="BC33" s="283" t="str">
        <f t="shared" si="27"/>
        <v>MATCH</v>
      </c>
      <c r="BD33" s="114">
        <f t="shared" si="120"/>
        <v>44245093.600000001</v>
      </c>
      <c r="BE33" s="379">
        <f t="shared" si="120"/>
        <v>283949781.52000004</v>
      </c>
      <c r="BF33" s="114">
        <f t="shared" si="120"/>
        <v>245192873.00999996</v>
      </c>
      <c r="BG33" s="275">
        <f t="shared" si="30"/>
        <v>0.86350787698257048</v>
      </c>
      <c r="BH33" s="169">
        <f t="shared" si="89"/>
        <v>12.157395496628588</v>
      </c>
      <c r="BI33" s="170">
        <f t="shared" si="90"/>
        <v>0.52404821095957388</v>
      </c>
      <c r="BJ33" s="169">
        <f>BD33/BL33</f>
        <v>12.779788787004399</v>
      </c>
      <c r="BK33" s="276">
        <f>BD33/BN33</f>
        <v>0.55087666203901242</v>
      </c>
      <c r="BL33" s="115">
        <f>BL34+BL40</f>
        <v>3462114.62</v>
      </c>
      <c r="BM33" s="104">
        <f>BM34+BM40</f>
        <v>37888350.950000003</v>
      </c>
      <c r="BN33" s="283">
        <f>BN34+BN40</f>
        <v>80317604.010000005</v>
      </c>
      <c r="BO33" s="112"/>
      <c r="BP33" s="102"/>
      <c r="BQ33" s="102"/>
      <c r="BR33" s="102"/>
      <c r="BS33" s="102"/>
      <c r="BT33" s="102"/>
      <c r="BU33" s="102"/>
      <c r="BV33" s="102"/>
      <c r="BW33" s="102"/>
      <c r="BX33" s="102"/>
      <c r="BY33" s="102"/>
      <c r="BZ33" s="102"/>
      <c r="CA33" s="102"/>
      <c r="CB33" s="286"/>
      <c r="CC33" s="125"/>
      <c r="CD33" s="125"/>
    </row>
    <row r="34" spans="1:82" ht="14.25" customHeight="1" x14ac:dyDescent="0.35">
      <c r="A34" s="323" t="s">
        <v>382</v>
      </c>
      <c r="B34" s="174">
        <f>SUM(B35:B39)</f>
        <v>3402789.6408000002</v>
      </c>
      <c r="C34" s="108">
        <f t="shared" ref="C34:I34" si="122">SUM(C35:C39)</f>
        <v>464016.76919999998</v>
      </c>
      <c r="D34" s="108">
        <f t="shared" si="122"/>
        <v>0</v>
      </c>
      <c r="E34" s="108">
        <f t="shared" si="122"/>
        <v>0</v>
      </c>
      <c r="F34" s="108">
        <f t="shared" si="122"/>
        <v>0</v>
      </c>
      <c r="G34" s="108">
        <f t="shared" si="122"/>
        <v>0</v>
      </c>
      <c r="H34" s="108">
        <f t="shared" si="122"/>
        <v>0</v>
      </c>
      <c r="I34" s="108">
        <f t="shared" si="122"/>
        <v>0</v>
      </c>
      <c r="J34" s="284">
        <f t="shared" si="19"/>
        <v>3866806.41</v>
      </c>
      <c r="K34" s="284" t="str">
        <f t="shared" si="20"/>
        <v>MATCH</v>
      </c>
      <c r="L34" s="284">
        <f>L35+L36</f>
        <v>3866806.41</v>
      </c>
      <c r="M34" s="174">
        <f t="shared" ref="M34:T34" si="123">SUM(M35:M39)</f>
        <v>37273.126499999998</v>
      </c>
      <c r="N34" s="126">
        <f t="shared" si="123"/>
        <v>0</v>
      </c>
      <c r="O34" s="126">
        <f t="shared" si="123"/>
        <v>0</v>
      </c>
      <c r="P34" s="126">
        <f t="shared" si="123"/>
        <v>0</v>
      </c>
      <c r="Q34" s="126">
        <f t="shared" si="123"/>
        <v>1961.7435000000041</v>
      </c>
      <c r="R34" s="126">
        <f t="shared" si="123"/>
        <v>0</v>
      </c>
      <c r="S34" s="126">
        <f t="shared" si="123"/>
        <v>0</v>
      </c>
      <c r="T34" s="126">
        <f t="shared" si="123"/>
        <v>0</v>
      </c>
      <c r="U34" s="284">
        <f t="shared" si="45"/>
        <v>39234.870000000003</v>
      </c>
      <c r="V34" s="284" t="str">
        <f t="shared" si="23"/>
        <v>MATCH</v>
      </c>
      <c r="W34" s="383">
        <f t="shared" ref="W34:BF34" si="124">W35+W36</f>
        <v>39234.870000000003</v>
      </c>
      <c r="X34" s="383">
        <f t="shared" si="124"/>
        <v>3906041.2800000003</v>
      </c>
      <c r="Y34" s="384">
        <f t="shared" si="124"/>
        <v>-1306574.24</v>
      </c>
      <c r="Z34" s="385">
        <f t="shared" si="124"/>
        <v>359753.4</v>
      </c>
      <c r="AA34" s="174">
        <f t="shared" ref="AA34:AG34" si="125">SUM(AA35:AA39)</f>
        <v>1485828</v>
      </c>
      <c r="AB34" s="108">
        <f t="shared" si="125"/>
        <v>0</v>
      </c>
      <c r="AC34" s="108">
        <f t="shared" si="125"/>
        <v>0</v>
      </c>
      <c r="AD34" s="108">
        <f t="shared" si="125"/>
        <v>0</v>
      </c>
      <c r="AE34" s="108">
        <f t="shared" si="125"/>
        <v>0</v>
      </c>
      <c r="AF34" s="108">
        <f t="shared" si="125"/>
        <v>0</v>
      </c>
      <c r="AG34" s="108">
        <f t="shared" si="125"/>
        <v>0</v>
      </c>
      <c r="AH34" s="284">
        <f t="shared" si="11"/>
        <v>1485828</v>
      </c>
      <c r="AI34" s="284" t="str">
        <f t="shared" si="25"/>
        <v>MATCH</v>
      </c>
      <c r="AJ34" s="111">
        <f t="shared" si="124"/>
        <v>1485828</v>
      </c>
      <c r="AK34" s="174">
        <f t="shared" ref="AK34:AQ34" si="126">SUM(AK35:AK39)</f>
        <v>0</v>
      </c>
      <c r="AL34" s="108">
        <f t="shared" si="126"/>
        <v>0</v>
      </c>
      <c r="AM34" s="108">
        <f t="shared" si="126"/>
        <v>0</v>
      </c>
      <c r="AN34" s="108">
        <f t="shared" si="126"/>
        <v>0</v>
      </c>
      <c r="AO34" s="108">
        <f t="shared" si="126"/>
        <v>0</v>
      </c>
      <c r="AP34" s="108">
        <f t="shared" si="126"/>
        <v>0</v>
      </c>
      <c r="AQ34" s="108">
        <f t="shared" si="126"/>
        <v>0</v>
      </c>
      <c r="AR34" s="111">
        <f t="shared" si="124"/>
        <v>0</v>
      </c>
      <c r="AS34" s="386">
        <f t="shared" si="95"/>
        <v>1485828</v>
      </c>
      <c r="AT34" s="174">
        <f t="shared" ref="AT34:BA34" si="127">SUM(AT35:AT39)</f>
        <v>0</v>
      </c>
      <c r="AU34" s="108">
        <f t="shared" si="127"/>
        <v>0</v>
      </c>
      <c r="AV34" s="108">
        <f t="shared" si="127"/>
        <v>0</v>
      </c>
      <c r="AW34" s="108">
        <f t="shared" si="127"/>
        <v>0</v>
      </c>
      <c r="AX34" s="108">
        <f t="shared" si="127"/>
        <v>1039881</v>
      </c>
      <c r="AY34" s="108">
        <f t="shared" si="127"/>
        <v>372004.8</v>
      </c>
      <c r="AZ34" s="108">
        <f t="shared" si="127"/>
        <v>0</v>
      </c>
      <c r="BA34" s="108">
        <f t="shared" si="127"/>
        <v>1411885.8</v>
      </c>
      <c r="BB34" s="284">
        <f t="shared" si="13"/>
        <v>1411885.8</v>
      </c>
      <c r="BC34" s="284" t="str">
        <f t="shared" si="27"/>
        <v>MATCH</v>
      </c>
      <c r="BD34" s="111">
        <f t="shared" si="124"/>
        <v>1411885.8</v>
      </c>
      <c r="BE34" s="383">
        <f t="shared" si="124"/>
        <v>4592932.17</v>
      </c>
      <c r="BF34" s="111">
        <f t="shared" si="124"/>
        <v>4281634.76</v>
      </c>
      <c r="BG34" s="277">
        <f t="shared" si="30"/>
        <v>0.93222251091942421</v>
      </c>
      <c r="BH34" s="251">
        <f t="shared" si="89"/>
        <v>26.023966847442271</v>
      </c>
      <c r="BI34" s="251">
        <f t="shared" si="90"/>
        <v>2.5526711794314125</v>
      </c>
      <c r="BJ34" s="251">
        <f>BD34/BL34</f>
        <v>9.4066771489866348</v>
      </c>
      <c r="BK34" s="278">
        <f>BD34/BN34</f>
        <v>0.92269383039097419</v>
      </c>
      <c r="BL34" s="126">
        <f>BL35+BL36</f>
        <v>150094</v>
      </c>
      <c r="BM34" s="108">
        <f t="shared" ref="BM34:BN34" si="128">BM35+BM36</f>
        <v>0</v>
      </c>
      <c r="BN34" s="284">
        <f t="shared" si="128"/>
        <v>1530178</v>
      </c>
      <c r="BO34" s="112"/>
      <c r="BP34" s="102"/>
      <c r="BQ34" s="102"/>
      <c r="BR34" s="102"/>
      <c r="BS34" s="102"/>
      <c r="BT34" s="102"/>
      <c r="BU34" s="102"/>
      <c r="BV34" s="102"/>
      <c r="BW34" s="102"/>
      <c r="BX34" s="102"/>
      <c r="BY34" s="102"/>
      <c r="BZ34" s="102"/>
      <c r="CA34" s="102"/>
      <c r="CB34" s="286"/>
    </row>
    <row r="35" spans="1:82" ht="14.25" customHeight="1" x14ac:dyDescent="0.35">
      <c r="A35" s="319" t="s">
        <v>383</v>
      </c>
      <c r="B35" s="252">
        <f>L35*0.88</f>
        <v>3402789.6408000002</v>
      </c>
      <c r="C35" s="253">
        <f>L35-B35</f>
        <v>464016.76919999998</v>
      </c>
      <c r="D35" s="253"/>
      <c r="E35" s="253"/>
      <c r="F35" s="253"/>
      <c r="G35" s="253"/>
      <c r="H35" s="253">
        <v>0</v>
      </c>
      <c r="I35" s="253"/>
      <c r="J35" s="362">
        <f t="shared" si="19"/>
        <v>3866806.41</v>
      </c>
      <c r="K35" s="362" t="str">
        <f t="shared" si="20"/>
        <v>MATCH</v>
      </c>
      <c r="L35" s="362">
        <v>3866806.41</v>
      </c>
      <c r="M35" s="252">
        <f>W35*0.95</f>
        <v>37273.126499999998</v>
      </c>
      <c r="N35" s="363"/>
      <c r="O35" s="363"/>
      <c r="P35" s="363"/>
      <c r="Q35" s="363">
        <f>W35-M35</f>
        <v>1961.7435000000041</v>
      </c>
      <c r="R35" s="363"/>
      <c r="S35" s="363"/>
      <c r="T35" s="363"/>
      <c r="U35" s="362">
        <f t="shared" si="45"/>
        <v>39234.870000000003</v>
      </c>
      <c r="V35" s="362" t="str">
        <f t="shared" si="23"/>
        <v>MATCH</v>
      </c>
      <c r="W35" s="387">
        <v>39234.870000000003</v>
      </c>
      <c r="X35" s="387">
        <f>L35+W35</f>
        <v>3906041.2800000003</v>
      </c>
      <c r="Y35" s="388">
        <v>-1306574.24</v>
      </c>
      <c r="Z35" s="389">
        <v>359753.4</v>
      </c>
      <c r="AA35" s="252">
        <f>AJ35</f>
        <v>1485828</v>
      </c>
      <c r="AB35" s="253"/>
      <c r="AC35" s="253"/>
      <c r="AD35" s="253"/>
      <c r="AE35" s="253"/>
      <c r="AF35" s="253"/>
      <c r="AG35" s="253"/>
      <c r="AH35" s="362">
        <f t="shared" si="11"/>
        <v>1485828</v>
      </c>
      <c r="AI35" s="362" t="str">
        <f t="shared" si="25"/>
        <v>MATCH</v>
      </c>
      <c r="AJ35" s="254">
        <v>1485828</v>
      </c>
      <c r="AK35" s="252"/>
      <c r="AL35" s="253"/>
      <c r="AM35" s="253">
        <f>AR35</f>
        <v>0</v>
      </c>
      <c r="AN35" s="253"/>
      <c r="AO35" s="253"/>
      <c r="AP35" s="253"/>
      <c r="AQ35" s="253"/>
      <c r="AR35" s="254">
        <v>0</v>
      </c>
      <c r="AS35" s="390">
        <f t="shared" si="95"/>
        <v>1485828</v>
      </c>
      <c r="AT35" s="252"/>
      <c r="AU35" s="253"/>
      <c r="AV35" s="253"/>
      <c r="AW35" s="253">
        <f t="shared" si="40"/>
        <v>0</v>
      </c>
      <c r="AX35" s="253">
        <v>1039881</v>
      </c>
      <c r="AY35" s="253">
        <v>372004.8</v>
      </c>
      <c r="AZ35" s="253">
        <v>0</v>
      </c>
      <c r="BA35" s="253">
        <f t="shared" si="41"/>
        <v>1411885.8</v>
      </c>
      <c r="BB35" s="362">
        <f t="shared" si="13"/>
        <v>1411885.8</v>
      </c>
      <c r="BC35" s="362" t="str">
        <f t="shared" si="27"/>
        <v>MATCH</v>
      </c>
      <c r="BD35" s="254">
        <f>BA35+AW35</f>
        <v>1411885.8</v>
      </c>
      <c r="BE35" s="391">
        <v>4592932.17</v>
      </c>
      <c r="BF35" s="389">
        <v>4281634.76</v>
      </c>
      <c r="BG35" s="281">
        <f t="shared" ref="BG35" si="129">BF35/BE35</f>
        <v>0.93222251091942421</v>
      </c>
      <c r="BH35" s="167">
        <f t="shared" si="89"/>
        <v>26.023966847442271</v>
      </c>
      <c r="BI35" s="255">
        <f t="shared" si="90"/>
        <v>2.5526711794314125</v>
      </c>
      <c r="BJ35" s="167">
        <f t="shared" ref="BJ35" si="130">BD35/BL35</f>
        <v>9.4066771489866348</v>
      </c>
      <c r="BK35" s="280">
        <f t="shared" ref="BK35" si="131">BD35/BN35</f>
        <v>0.92269383039097419</v>
      </c>
      <c r="BL35" s="209">
        <f>'GHG and Energy Use Dec'!Q34</f>
        <v>150094</v>
      </c>
      <c r="BM35" s="209">
        <f>'GHG and Energy Use Dec'!R34</f>
        <v>0</v>
      </c>
      <c r="BN35" s="209">
        <f>'GHG and Energy Use Dec'!S34</f>
        <v>1530178</v>
      </c>
      <c r="BO35" s="112" t="s">
        <v>513</v>
      </c>
      <c r="BP35" s="102" t="s">
        <v>514</v>
      </c>
      <c r="BQ35" s="102" t="s">
        <v>460</v>
      </c>
      <c r="BR35" s="102" t="s">
        <v>515</v>
      </c>
      <c r="BS35" s="102" t="s">
        <v>461</v>
      </c>
      <c r="BT35" s="102" t="s">
        <v>485</v>
      </c>
      <c r="BU35" s="102" t="s">
        <v>464</v>
      </c>
      <c r="BV35" s="102" t="s">
        <v>465</v>
      </c>
      <c r="BW35" s="102" t="s">
        <v>467</v>
      </c>
      <c r="BX35" s="102" t="s">
        <v>466</v>
      </c>
      <c r="BY35" s="102" t="s">
        <v>468</v>
      </c>
      <c r="BZ35" s="102" t="s">
        <v>476</v>
      </c>
      <c r="CA35" s="102" t="s">
        <v>470</v>
      </c>
      <c r="CB35" s="286" t="s">
        <v>468</v>
      </c>
    </row>
    <row r="36" spans="1:82" ht="14.25" hidden="1" customHeight="1" x14ac:dyDescent="0.35">
      <c r="A36" s="320" t="s">
        <v>373</v>
      </c>
      <c r="B36" s="252"/>
      <c r="C36" s="253"/>
      <c r="D36" s="253"/>
      <c r="E36" s="253"/>
      <c r="F36" s="253"/>
      <c r="G36" s="253"/>
      <c r="H36" s="253"/>
      <c r="I36" s="253"/>
      <c r="J36" s="362">
        <f t="shared" si="19"/>
        <v>0</v>
      </c>
      <c r="K36" s="362" t="str">
        <f t="shared" si="20"/>
        <v>MATCH</v>
      </c>
      <c r="L36" s="362">
        <v>0</v>
      </c>
      <c r="M36" s="252"/>
      <c r="N36" s="363"/>
      <c r="O36" s="363"/>
      <c r="P36" s="363"/>
      <c r="Q36" s="363"/>
      <c r="R36" s="363"/>
      <c r="S36" s="363"/>
      <c r="T36" s="363"/>
      <c r="U36" s="362">
        <f t="shared" si="45"/>
        <v>0</v>
      </c>
      <c r="V36" s="362" t="str">
        <f t="shared" si="23"/>
        <v>MATCH</v>
      </c>
      <c r="W36" s="387">
        <v>0</v>
      </c>
      <c r="X36" s="387">
        <f>L36+W36</f>
        <v>0</v>
      </c>
      <c r="Y36" s="388">
        <v>0</v>
      </c>
      <c r="Z36" s="389">
        <v>0</v>
      </c>
      <c r="AA36" s="252"/>
      <c r="AB36" s="253"/>
      <c r="AC36" s="253"/>
      <c r="AD36" s="253"/>
      <c r="AE36" s="253"/>
      <c r="AF36" s="253"/>
      <c r="AG36" s="253"/>
      <c r="AH36" s="362">
        <f t="shared" si="11"/>
        <v>0</v>
      </c>
      <c r="AI36" s="362" t="str">
        <f t="shared" si="25"/>
        <v>MATCH</v>
      </c>
      <c r="AJ36" s="254">
        <v>0</v>
      </c>
      <c r="AK36" s="252"/>
      <c r="AL36" s="253"/>
      <c r="AM36" s="253"/>
      <c r="AN36" s="253"/>
      <c r="AO36" s="253"/>
      <c r="AP36" s="253"/>
      <c r="AQ36" s="253"/>
      <c r="AR36" s="254">
        <v>0</v>
      </c>
      <c r="AS36" s="390">
        <f t="shared" si="95"/>
        <v>0</v>
      </c>
      <c r="AT36" s="252"/>
      <c r="AU36" s="253"/>
      <c r="AV36" s="253"/>
      <c r="AW36" s="253">
        <f t="shared" si="40"/>
        <v>0</v>
      </c>
      <c r="AX36" s="253"/>
      <c r="AY36" s="253"/>
      <c r="AZ36" s="253"/>
      <c r="BA36" s="253">
        <f t="shared" si="41"/>
        <v>0</v>
      </c>
      <c r="BB36" s="362">
        <f t="shared" si="13"/>
        <v>0</v>
      </c>
      <c r="BC36" s="362" t="str">
        <f t="shared" si="27"/>
        <v>MATCH</v>
      </c>
      <c r="BD36" s="254">
        <v>0</v>
      </c>
      <c r="BE36" s="391">
        <v>0</v>
      </c>
      <c r="BF36" s="388">
        <v>0</v>
      </c>
      <c r="BG36" s="281" t="e">
        <f t="shared" ref="BG36:BG39" si="132">BF36/BE36</f>
        <v>#DIV/0!</v>
      </c>
      <c r="BH36" s="167" t="e">
        <f t="shared" si="89"/>
        <v>#DIV/0!</v>
      </c>
      <c r="BI36" s="255" t="e">
        <f t="shared" si="90"/>
        <v>#DIV/0!</v>
      </c>
      <c r="BJ36" s="167" t="e">
        <f t="shared" ref="BJ36:BJ39" si="133">BD36/BL36</f>
        <v>#DIV/0!</v>
      </c>
      <c r="BK36" s="280" t="e">
        <f t="shared" ref="BK36:BK39" si="134">BD36/BN36</f>
        <v>#DIV/0!</v>
      </c>
      <c r="BL36" s="127">
        <v>0</v>
      </c>
      <c r="BM36" s="107">
        <v>0</v>
      </c>
      <c r="BN36" s="285">
        <v>0</v>
      </c>
      <c r="BO36" s="112"/>
      <c r="BP36" s="102"/>
      <c r="BQ36" s="102"/>
      <c r="BR36" s="102"/>
      <c r="BS36" s="102"/>
      <c r="BT36" s="102"/>
      <c r="BU36" s="102"/>
      <c r="BV36" s="102"/>
      <c r="BW36" s="102"/>
      <c r="BX36" s="102"/>
      <c r="BY36" s="102"/>
      <c r="BZ36" s="102"/>
      <c r="CA36" s="102"/>
      <c r="CB36" s="286"/>
    </row>
    <row r="37" spans="1:82" ht="14.25" hidden="1" customHeight="1" x14ac:dyDescent="0.35">
      <c r="A37" s="320" t="s">
        <v>516</v>
      </c>
      <c r="B37" s="252"/>
      <c r="C37" s="253"/>
      <c r="D37" s="253"/>
      <c r="E37" s="253"/>
      <c r="F37" s="253"/>
      <c r="G37" s="253"/>
      <c r="H37" s="253"/>
      <c r="I37" s="253"/>
      <c r="J37" s="362">
        <f t="shared" si="19"/>
        <v>0</v>
      </c>
      <c r="K37" s="362" t="str">
        <f t="shared" si="20"/>
        <v>MATCH</v>
      </c>
      <c r="L37" s="362">
        <v>0</v>
      </c>
      <c r="M37" s="252"/>
      <c r="N37" s="363"/>
      <c r="O37" s="363"/>
      <c r="P37" s="363"/>
      <c r="Q37" s="363"/>
      <c r="R37" s="363"/>
      <c r="S37" s="363"/>
      <c r="T37" s="363"/>
      <c r="U37" s="362">
        <f t="shared" si="45"/>
        <v>0</v>
      </c>
      <c r="V37" s="362" t="str">
        <f t="shared" si="23"/>
        <v>MATCH</v>
      </c>
      <c r="W37" s="387">
        <v>0</v>
      </c>
      <c r="X37" s="387">
        <f>L37+W37</f>
        <v>0</v>
      </c>
      <c r="Y37" s="388">
        <v>0</v>
      </c>
      <c r="Z37" s="389">
        <v>0</v>
      </c>
      <c r="AA37" s="252"/>
      <c r="AB37" s="253"/>
      <c r="AC37" s="253"/>
      <c r="AD37" s="253"/>
      <c r="AE37" s="253"/>
      <c r="AF37" s="253"/>
      <c r="AG37" s="253"/>
      <c r="AH37" s="362">
        <f t="shared" si="11"/>
        <v>0</v>
      </c>
      <c r="AI37" s="362" t="str">
        <f t="shared" si="25"/>
        <v>MATCH</v>
      </c>
      <c r="AJ37" s="254">
        <v>0</v>
      </c>
      <c r="AK37" s="252"/>
      <c r="AL37" s="253"/>
      <c r="AM37" s="253"/>
      <c r="AN37" s="253"/>
      <c r="AO37" s="253"/>
      <c r="AP37" s="253"/>
      <c r="AQ37" s="253"/>
      <c r="AR37" s="254">
        <v>0</v>
      </c>
      <c r="AS37" s="390">
        <f t="shared" si="95"/>
        <v>0</v>
      </c>
      <c r="AT37" s="252"/>
      <c r="AU37" s="253"/>
      <c r="AV37" s="253"/>
      <c r="AW37" s="253">
        <f t="shared" si="40"/>
        <v>0</v>
      </c>
      <c r="AX37" s="253"/>
      <c r="AY37" s="253"/>
      <c r="AZ37" s="253"/>
      <c r="BA37" s="253">
        <f t="shared" si="41"/>
        <v>0</v>
      </c>
      <c r="BB37" s="362">
        <f t="shared" si="13"/>
        <v>0</v>
      </c>
      <c r="BC37" s="362" t="str">
        <f t="shared" si="27"/>
        <v>MATCH</v>
      </c>
      <c r="BD37" s="254">
        <v>0</v>
      </c>
      <c r="BE37" s="391">
        <v>0</v>
      </c>
      <c r="BF37" s="388">
        <v>0</v>
      </c>
      <c r="BG37" s="281" t="e">
        <f t="shared" si="132"/>
        <v>#DIV/0!</v>
      </c>
      <c r="BH37" s="167" t="e">
        <f t="shared" si="89"/>
        <v>#DIV/0!</v>
      </c>
      <c r="BI37" s="255" t="e">
        <f t="shared" si="90"/>
        <v>#DIV/0!</v>
      </c>
      <c r="BJ37" s="167" t="e">
        <f t="shared" si="133"/>
        <v>#DIV/0!</v>
      </c>
      <c r="BK37" s="280" t="e">
        <f t="shared" si="134"/>
        <v>#DIV/0!</v>
      </c>
      <c r="BL37" s="127">
        <v>0</v>
      </c>
      <c r="BM37" s="107">
        <v>0</v>
      </c>
      <c r="BN37" s="285">
        <v>0</v>
      </c>
      <c r="BO37" s="112"/>
      <c r="BP37" s="102"/>
      <c r="BQ37" s="102"/>
      <c r="BR37" s="102"/>
      <c r="BS37" s="102"/>
      <c r="BT37" s="102"/>
      <c r="BU37" s="102"/>
      <c r="BV37" s="102"/>
      <c r="BW37" s="102"/>
      <c r="BX37" s="102"/>
      <c r="BY37" s="102"/>
      <c r="BZ37" s="102"/>
      <c r="CA37" s="102"/>
      <c r="CB37" s="286"/>
    </row>
    <row r="38" spans="1:82" ht="14.25" hidden="1" customHeight="1" x14ac:dyDescent="0.35">
      <c r="A38" s="320" t="s">
        <v>517</v>
      </c>
      <c r="B38" s="252"/>
      <c r="C38" s="253"/>
      <c r="D38" s="253"/>
      <c r="E38" s="253"/>
      <c r="F38" s="253"/>
      <c r="G38" s="253"/>
      <c r="H38" s="253"/>
      <c r="I38" s="253"/>
      <c r="J38" s="362">
        <f t="shared" si="19"/>
        <v>0</v>
      </c>
      <c r="K38" s="362" t="str">
        <f t="shared" si="20"/>
        <v>MATCH</v>
      </c>
      <c r="L38" s="362">
        <v>0</v>
      </c>
      <c r="M38" s="252"/>
      <c r="N38" s="363"/>
      <c r="O38" s="363"/>
      <c r="P38" s="363"/>
      <c r="Q38" s="363"/>
      <c r="R38" s="363"/>
      <c r="S38" s="363"/>
      <c r="T38" s="363"/>
      <c r="U38" s="362">
        <f t="shared" si="45"/>
        <v>0</v>
      </c>
      <c r="V38" s="362" t="str">
        <f t="shared" si="23"/>
        <v>MATCH</v>
      </c>
      <c r="W38" s="387">
        <v>0</v>
      </c>
      <c r="X38" s="387">
        <f>L38+W38</f>
        <v>0</v>
      </c>
      <c r="Y38" s="388">
        <v>0</v>
      </c>
      <c r="Z38" s="389">
        <v>0</v>
      </c>
      <c r="AA38" s="252"/>
      <c r="AB38" s="253"/>
      <c r="AC38" s="253"/>
      <c r="AD38" s="253"/>
      <c r="AE38" s="253"/>
      <c r="AF38" s="253"/>
      <c r="AG38" s="253"/>
      <c r="AH38" s="362">
        <f t="shared" si="11"/>
        <v>0</v>
      </c>
      <c r="AI38" s="362" t="str">
        <f t="shared" si="25"/>
        <v>MATCH</v>
      </c>
      <c r="AJ38" s="254">
        <v>0</v>
      </c>
      <c r="AK38" s="252"/>
      <c r="AL38" s="253"/>
      <c r="AM38" s="253"/>
      <c r="AN38" s="253"/>
      <c r="AO38" s="253"/>
      <c r="AP38" s="253"/>
      <c r="AQ38" s="253"/>
      <c r="AR38" s="254">
        <v>0</v>
      </c>
      <c r="AS38" s="390">
        <f t="shared" si="95"/>
        <v>0</v>
      </c>
      <c r="AT38" s="252"/>
      <c r="AU38" s="253"/>
      <c r="AV38" s="253"/>
      <c r="AW38" s="253">
        <f t="shared" si="40"/>
        <v>0</v>
      </c>
      <c r="AX38" s="253"/>
      <c r="AY38" s="253"/>
      <c r="AZ38" s="253"/>
      <c r="BA38" s="253">
        <f t="shared" si="41"/>
        <v>0</v>
      </c>
      <c r="BB38" s="362">
        <f t="shared" si="13"/>
        <v>0</v>
      </c>
      <c r="BC38" s="362" t="str">
        <f t="shared" si="27"/>
        <v>MATCH</v>
      </c>
      <c r="BD38" s="254">
        <v>0</v>
      </c>
      <c r="BE38" s="391">
        <v>0</v>
      </c>
      <c r="BF38" s="388">
        <v>0</v>
      </c>
      <c r="BG38" s="281" t="e">
        <f t="shared" si="132"/>
        <v>#DIV/0!</v>
      </c>
      <c r="BH38" s="167" t="e">
        <f t="shared" si="89"/>
        <v>#DIV/0!</v>
      </c>
      <c r="BI38" s="255" t="e">
        <f t="shared" si="90"/>
        <v>#DIV/0!</v>
      </c>
      <c r="BJ38" s="167" t="e">
        <f t="shared" si="133"/>
        <v>#DIV/0!</v>
      </c>
      <c r="BK38" s="280" t="e">
        <f t="shared" si="134"/>
        <v>#DIV/0!</v>
      </c>
      <c r="BL38" s="127">
        <v>0</v>
      </c>
      <c r="BM38" s="107">
        <v>0</v>
      </c>
      <c r="BN38" s="285">
        <v>0</v>
      </c>
      <c r="BO38" s="112"/>
      <c r="BP38" s="102"/>
      <c r="BQ38" s="102"/>
      <c r="BR38" s="102"/>
      <c r="BS38" s="102"/>
      <c r="BT38" s="102"/>
      <c r="BU38" s="102"/>
      <c r="BV38" s="102"/>
      <c r="BW38" s="102"/>
      <c r="BX38" s="102"/>
      <c r="BY38" s="102"/>
      <c r="BZ38" s="102"/>
      <c r="CA38" s="102"/>
      <c r="CB38" s="286"/>
    </row>
    <row r="39" spans="1:82" ht="14.25" hidden="1" customHeight="1" x14ac:dyDescent="0.35">
      <c r="A39" s="320" t="s">
        <v>518</v>
      </c>
      <c r="B39" s="252"/>
      <c r="C39" s="253"/>
      <c r="D39" s="253"/>
      <c r="E39" s="253"/>
      <c r="F39" s="253"/>
      <c r="G39" s="253"/>
      <c r="H39" s="253"/>
      <c r="I39" s="253"/>
      <c r="J39" s="362">
        <f t="shared" si="19"/>
        <v>0</v>
      </c>
      <c r="K39" s="362" t="str">
        <f t="shared" si="20"/>
        <v>MATCH</v>
      </c>
      <c r="L39" s="362">
        <v>0</v>
      </c>
      <c r="M39" s="252"/>
      <c r="N39" s="363"/>
      <c r="O39" s="363"/>
      <c r="P39" s="363"/>
      <c r="Q39" s="363"/>
      <c r="R39" s="363"/>
      <c r="S39" s="363"/>
      <c r="T39" s="363"/>
      <c r="U39" s="362">
        <f t="shared" si="45"/>
        <v>0</v>
      </c>
      <c r="V39" s="362" t="str">
        <f t="shared" si="23"/>
        <v>MATCH</v>
      </c>
      <c r="W39" s="387">
        <v>0</v>
      </c>
      <c r="X39" s="387">
        <f>L39+W39</f>
        <v>0</v>
      </c>
      <c r="Y39" s="388">
        <v>0</v>
      </c>
      <c r="Z39" s="389">
        <v>0</v>
      </c>
      <c r="AA39" s="252"/>
      <c r="AB39" s="253"/>
      <c r="AC39" s="253"/>
      <c r="AD39" s="253"/>
      <c r="AE39" s="253"/>
      <c r="AF39" s="253"/>
      <c r="AG39" s="253"/>
      <c r="AH39" s="362">
        <f t="shared" si="11"/>
        <v>0</v>
      </c>
      <c r="AI39" s="362" t="str">
        <f t="shared" si="25"/>
        <v>MATCH</v>
      </c>
      <c r="AJ39" s="254">
        <v>0</v>
      </c>
      <c r="AK39" s="252"/>
      <c r="AL39" s="253"/>
      <c r="AM39" s="253"/>
      <c r="AN39" s="253"/>
      <c r="AO39" s="253"/>
      <c r="AP39" s="253"/>
      <c r="AQ39" s="253"/>
      <c r="AR39" s="254">
        <v>0</v>
      </c>
      <c r="AS39" s="390">
        <f t="shared" si="95"/>
        <v>0</v>
      </c>
      <c r="AT39" s="252"/>
      <c r="AU39" s="253"/>
      <c r="AV39" s="253"/>
      <c r="AW39" s="253">
        <f t="shared" si="40"/>
        <v>0</v>
      </c>
      <c r="AX39" s="253"/>
      <c r="AY39" s="253"/>
      <c r="AZ39" s="253"/>
      <c r="BA39" s="253">
        <f t="shared" si="41"/>
        <v>0</v>
      </c>
      <c r="BB39" s="362">
        <f t="shared" si="13"/>
        <v>0</v>
      </c>
      <c r="BC39" s="362" t="str">
        <f t="shared" si="27"/>
        <v>MATCH</v>
      </c>
      <c r="BD39" s="254">
        <v>0</v>
      </c>
      <c r="BE39" s="391">
        <v>0</v>
      </c>
      <c r="BF39" s="388">
        <v>0</v>
      </c>
      <c r="BG39" s="281" t="e">
        <f t="shared" si="132"/>
        <v>#DIV/0!</v>
      </c>
      <c r="BH39" s="167" t="e">
        <f t="shared" si="89"/>
        <v>#DIV/0!</v>
      </c>
      <c r="BI39" s="255" t="e">
        <f t="shared" si="90"/>
        <v>#DIV/0!</v>
      </c>
      <c r="BJ39" s="167" t="e">
        <f t="shared" si="133"/>
        <v>#DIV/0!</v>
      </c>
      <c r="BK39" s="280" t="e">
        <f t="shared" si="134"/>
        <v>#DIV/0!</v>
      </c>
      <c r="BL39" s="127">
        <v>0</v>
      </c>
      <c r="BM39" s="107">
        <v>0</v>
      </c>
      <c r="BN39" s="285">
        <v>0</v>
      </c>
      <c r="BO39" s="112"/>
      <c r="BP39" s="102"/>
      <c r="BQ39" s="102"/>
      <c r="BR39" s="102"/>
      <c r="BS39" s="102"/>
      <c r="BT39" s="102"/>
      <c r="BU39" s="102"/>
      <c r="BV39" s="102"/>
      <c r="BW39" s="102"/>
      <c r="BX39" s="102"/>
      <c r="BY39" s="102"/>
      <c r="BZ39" s="102"/>
      <c r="CA39" s="102"/>
      <c r="CB39" s="286"/>
    </row>
    <row r="40" spans="1:82" ht="13.5" customHeight="1" x14ac:dyDescent="0.35">
      <c r="A40" s="318" t="s">
        <v>384</v>
      </c>
      <c r="B40" s="174">
        <f>SUM(B41:B50)</f>
        <v>200053.6</v>
      </c>
      <c r="C40" s="108">
        <f t="shared" ref="C40:I40" si="135">SUM(C41:C50)</f>
        <v>0</v>
      </c>
      <c r="D40" s="108">
        <f t="shared" si="135"/>
        <v>0</v>
      </c>
      <c r="E40" s="108">
        <f>SUM(E41:E50)</f>
        <v>17146745.810000002</v>
      </c>
      <c r="F40" s="108">
        <f t="shared" si="135"/>
        <v>17958934</v>
      </c>
      <c r="G40" s="108">
        <f t="shared" si="135"/>
        <v>0</v>
      </c>
      <c r="H40" s="108">
        <f t="shared" si="135"/>
        <v>12</v>
      </c>
      <c r="I40" s="108">
        <f t="shared" si="135"/>
        <v>0</v>
      </c>
      <c r="J40" s="284">
        <f t="shared" si="19"/>
        <v>35305745.410000004</v>
      </c>
      <c r="K40" s="284" t="str">
        <f t="shared" si="20"/>
        <v>MATCH</v>
      </c>
      <c r="L40" s="284">
        <f>L41+L42+L50</f>
        <v>35305745.409999996</v>
      </c>
      <c r="M40" s="174">
        <f t="shared" ref="M40:T40" si="136">SUM(M41:M50)</f>
        <v>0</v>
      </c>
      <c r="N40" s="126">
        <f t="shared" si="136"/>
        <v>36284</v>
      </c>
      <c r="O40" s="126">
        <f t="shared" si="136"/>
        <v>2842226</v>
      </c>
      <c r="P40" s="126">
        <f t="shared" si="136"/>
        <v>0</v>
      </c>
      <c r="Q40" s="126">
        <f t="shared" si="136"/>
        <v>0</v>
      </c>
      <c r="R40" s="126">
        <f t="shared" si="136"/>
        <v>0</v>
      </c>
      <c r="S40" s="126">
        <f t="shared" si="136"/>
        <v>0</v>
      </c>
      <c r="T40" s="126">
        <f t="shared" si="136"/>
        <v>0</v>
      </c>
      <c r="U40" s="284">
        <f t="shared" si="45"/>
        <v>2878510</v>
      </c>
      <c r="V40" s="284" t="str">
        <f t="shared" si="23"/>
        <v>MATCH</v>
      </c>
      <c r="W40" s="383">
        <f t="shared" ref="W40:BF40" si="137">W41+W42+W50</f>
        <v>2878510</v>
      </c>
      <c r="X40" s="383">
        <f t="shared" si="137"/>
        <v>38184255.409999996</v>
      </c>
      <c r="Y40" s="384">
        <f t="shared" si="137"/>
        <v>-8141496</v>
      </c>
      <c r="Z40" s="385">
        <f t="shared" si="137"/>
        <v>103419967.08</v>
      </c>
      <c r="AA40" s="174">
        <f t="shared" ref="AA40:AG40" si="138">SUM(AA41:AA50)</f>
        <v>0</v>
      </c>
      <c r="AB40" s="108">
        <f t="shared" si="138"/>
        <v>0</v>
      </c>
      <c r="AC40" s="108">
        <f t="shared" si="138"/>
        <v>0</v>
      </c>
      <c r="AD40" s="108">
        <f t="shared" si="138"/>
        <v>3751747</v>
      </c>
      <c r="AE40" s="108">
        <f t="shared" si="138"/>
        <v>0</v>
      </c>
      <c r="AF40" s="108">
        <f t="shared" si="138"/>
        <v>0</v>
      </c>
      <c r="AG40" s="108">
        <f t="shared" si="138"/>
        <v>0</v>
      </c>
      <c r="AH40" s="284">
        <f t="shared" si="11"/>
        <v>3751747</v>
      </c>
      <c r="AI40" s="284" t="str">
        <f t="shared" si="25"/>
        <v>MATCH</v>
      </c>
      <c r="AJ40" s="111">
        <f t="shared" si="137"/>
        <v>3751747</v>
      </c>
      <c r="AK40" s="174">
        <f t="shared" ref="AK40:AQ40" si="139">SUM(AK41:AK50)</f>
        <v>0</v>
      </c>
      <c r="AL40" s="108">
        <f t="shared" si="139"/>
        <v>0</v>
      </c>
      <c r="AM40" s="108">
        <f t="shared" si="139"/>
        <v>76224</v>
      </c>
      <c r="AN40" s="108">
        <f t="shared" si="139"/>
        <v>0</v>
      </c>
      <c r="AO40" s="108">
        <f t="shared" si="139"/>
        <v>0</v>
      </c>
      <c r="AP40" s="108">
        <f t="shared" si="139"/>
        <v>0</v>
      </c>
      <c r="AQ40" s="108">
        <f t="shared" si="139"/>
        <v>0</v>
      </c>
      <c r="AR40" s="111">
        <f t="shared" si="137"/>
        <v>75603</v>
      </c>
      <c r="AS40" s="386">
        <f t="shared" si="95"/>
        <v>3827350</v>
      </c>
      <c r="AT40" s="174">
        <f t="shared" ref="AT40:BA40" si="140">SUM(AT41:AT50)</f>
        <v>9956105.7699999996</v>
      </c>
      <c r="AU40" s="108">
        <f t="shared" si="140"/>
        <v>5807246.3100000005</v>
      </c>
      <c r="AV40" s="108">
        <f t="shared" si="140"/>
        <v>596738</v>
      </c>
      <c r="AW40" s="108">
        <f t="shared" si="140"/>
        <v>16360090.08</v>
      </c>
      <c r="AX40" s="108">
        <f t="shared" si="140"/>
        <v>7296494.7200000007</v>
      </c>
      <c r="AY40" s="108">
        <f t="shared" si="140"/>
        <v>18187316</v>
      </c>
      <c r="AZ40" s="108">
        <f t="shared" si="140"/>
        <v>989307</v>
      </c>
      <c r="BA40" s="108">
        <f t="shared" si="140"/>
        <v>26473117.719999999</v>
      </c>
      <c r="BB40" s="284">
        <f t="shared" si="13"/>
        <v>42833207.799999997</v>
      </c>
      <c r="BC40" s="284" t="str">
        <f t="shared" si="27"/>
        <v>MATCH</v>
      </c>
      <c r="BD40" s="111">
        <f t="shared" si="137"/>
        <v>42833207.800000004</v>
      </c>
      <c r="BE40" s="383">
        <f t="shared" si="137"/>
        <v>279356849.35000002</v>
      </c>
      <c r="BF40" s="111">
        <f t="shared" si="137"/>
        <v>240911238.24999997</v>
      </c>
      <c r="BG40" s="277">
        <f t="shared" si="30"/>
        <v>0.86237813323906587</v>
      </c>
      <c r="BH40" s="250">
        <f t="shared" si="89"/>
        <v>11.528990846077521</v>
      </c>
      <c r="BI40" s="251">
        <f t="shared" si="90"/>
        <v>0.48464910384499049</v>
      </c>
      <c r="BJ40" s="250">
        <f>BD40/BL40</f>
        <v>12.932651306983711</v>
      </c>
      <c r="BK40" s="278">
        <f>BD40/BN40</f>
        <v>0.54365537712278411</v>
      </c>
      <c r="BL40" s="126">
        <f t="shared" ref="BL40:BN40" si="141">BL41+BL42+BL50</f>
        <v>3312020.62</v>
      </c>
      <c r="BM40" s="108">
        <f t="shared" si="141"/>
        <v>37888350.950000003</v>
      </c>
      <c r="BN40" s="284">
        <f t="shared" si="141"/>
        <v>78787426.010000005</v>
      </c>
      <c r="BO40" s="112"/>
      <c r="BP40" s="102"/>
      <c r="BQ40" s="102"/>
      <c r="BR40" s="102"/>
      <c r="BS40" s="102"/>
      <c r="BT40" s="102"/>
      <c r="BU40" s="102"/>
      <c r="BV40" s="102"/>
      <c r="BW40" s="102"/>
      <c r="BX40" s="102"/>
      <c r="BY40" s="102"/>
      <c r="BZ40" s="102"/>
      <c r="CA40" s="102"/>
      <c r="CB40" s="286"/>
    </row>
    <row r="41" spans="1:82" ht="14.25" customHeight="1" x14ac:dyDescent="0.35">
      <c r="A41" s="319" t="s">
        <v>385</v>
      </c>
      <c r="B41" s="252"/>
      <c r="C41" s="253"/>
      <c r="D41" s="253"/>
      <c r="E41" s="253"/>
      <c r="F41" s="253"/>
      <c r="G41" s="253"/>
      <c r="H41" s="253">
        <v>12</v>
      </c>
      <c r="I41" s="253"/>
      <c r="J41" s="362">
        <f t="shared" si="19"/>
        <v>12</v>
      </c>
      <c r="K41" s="362" t="str">
        <f t="shared" si="20"/>
        <v>MATCH</v>
      </c>
      <c r="L41" s="362">
        <v>12</v>
      </c>
      <c r="M41" s="252"/>
      <c r="N41" s="363"/>
      <c r="O41" s="363">
        <f>W41</f>
        <v>314435</v>
      </c>
      <c r="P41" s="363"/>
      <c r="Q41" s="363"/>
      <c r="R41" s="363"/>
      <c r="S41" s="363"/>
      <c r="T41" s="363"/>
      <c r="U41" s="362">
        <f t="shared" si="45"/>
        <v>314435</v>
      </c>
      <c r="V41" s="362" t="str">
        <f t="shared" si="23"/>
        <v>MATCH</v>
      </c>
      <c r="W41" s="387">
        <v>314435</v>
      </c>
      <c r="X41" s="387">
        <f t="shared" ref="X41:X49" si="142">L41+W41</f>
        <v>314447</v>
      </c>
      <c r="Y41" s="388">
        <v>45146</v>
      </c>
      <c r="Z41" s="389">
        <v>0</v>
      </c>
      <c r="AA41" s="252"/>
      <c r="AB41" s="253"/>
      <c r="AC41" s="253"/>
      <c r="AD41" s="253"/>
      <c r="AE41" s="253"/>
      <c r="AF41" s="253"/>
      <c r="AG41" s="253"/>
      <c r="AH41" s="362">
        <f t="shared" si="11"/>
        <v>0</v>
      </c>
      <c r="AI41" s="362" t="str">
        <f t="shared" si="25"/>
        <v>MATCH</v>
      </c>
      <c r="AJ41" s="254">
        <v>0</v>
      </c>
      <c r="AK41" s="252"/>
      <c r="AL41" s="253"/>
      <c r="AM41" s="254">
        <v>76224</v>
      </c>
      <c r="AN41" s="253"/>
      <c r="AO41" s="253"/>
      <c r="AP41" s="253"/>
      <c r="AQ41" s="253"/>
      <c r="AR41" s="254">
        <v>75603</v>
      </c>
      <c r="AS41" s="390">
        <f t="shared" si="95"/>
        <v>75603</v>
      </c>
      <c r="AT41" s="252">
        <v>0</v>
      </c>
      <c r="AU41" s="253"/>
      <c r="AV41" s="253">
        <v>0</v>
      </c>
      <c r="AW41" s="253">
        <f t="shared" si="40"/>
        <v>0</v>
      </c>
      <c r="AX41" s="252">
        <v>444173</v>
      </c>
      <c r="AY41" s="253"/>
      <c r="AZ41" s="253">
        <v>40643</v>
      </c>
      <c r="BA41" s="253">
        <f t="shared" si="41"/>
        <v>484816</v>
      </c>
      <c r="BB41" s="362">
        <f t="shared" si="13"/>
        <v>484816</v>
      </c>
      <c r="BC41" s="362" t="str">
        <f t="shared" si="27"/>
        <v>MATCH</v>
      </c>
      <c r="BD41" s="254">
        <f>BA41+AW41</f>
        <v>484816</v>
      </c>
      <c r="BE41" s="391">
        <v>325788</v>
      </c>
      <c r="BF41" s="388">
        <v>0</v>
      </c>
      <c r="BG41" s="281">
        <f t="shared" si="30"/>
        <v>0</v>
      </c>
      <c r="BH41" s="255" t="s">
        <v>505</v>
      </c>
      <c r="BI41" s="255" t="s">
        <v>505</v>
      </c>
      <c r="BJ41" s="255" t="s">
        <v>505</v>
      </c>
      <c r="BK41" s="255" t="s">
        <v>505</v>
      </c>
      <c r="BL41" s="127"/>
      <c r="BM41" s="107"/>
      <c r="BN41" s="285"/>
      <c r="BO41" s="112" t="s">
        <v>519</v>
      </c>
      <c r="BP41" s="102" t="s">
        <v>459</v>
      </c>
      <c r="BQ41" s="102" t="s">
        <v>479</v>
      </c>
      <c r="BR41" s="102" t="s">
        <v>484</v>
      </c>
      <c r="BS41" s="102"/>
      <c r="BT41" s="102" t="s">
        <v>463</v>
      </c>
      <c r="BU41" s="102" t="s">
        <v>464</v>
      </c>
      <c r="BV41" s="102" t="s">
        <v>465</v>
      </c>
      <c r="BW41" s="102" t="s">
        <v>520</v>
      </c>
      <c r="BX41" s="102" t="s">
        <v>521</v>
      </c>
      <c r="BY41" s="102" t="s">
        <v>522</v>
      </c>
      <c r="BZ41" s="102" t="s">
        <v>523</v>
      </c>
      <c r="CA41" s="102" t="s">
        <v>524</v>
      </c>
      <c r="CB41" s="286" t="s">
        <v>468</v>
      </c>
    </row>
    <row r="42" spans="1:82" ht="14.25" hidden="1" customHeight="1" x14ac:dyDescent="0.35">
      <c r="A42" s="320" t="s">
        <v>373</v>
      </c>
      <c r="B42" s="252"/>
      <c r="C42" s="253"/>
      <c r="D42" s="253"/>
      <c r="E42" s="253"/>
      <c r="F42" s="253"/>
      <c r="G42" s="253"/>
      <c r="H42" s="253"/>
      <c r="I42" s="253"/>
      <c r="J42" s="362">
        <f t="shared" si="19"/>
        <v>0</v>
      </c>
      <c r="K42" s="362" t="str">
        <f t="shared" si="20"/>
        <v>MATCH</v>
      </c>
      <c r="L42" s="362">
        <v>0</v>
      </c>
      <c r="M42" s="252"/>
      <c r="N42" s="363"/>
      <c r="O42" s="363"/>
      <c r="P42" s="363"/>
      <c r="Q42" s="363"/>
      <c r="R42" s="363"/>
      <c r="S42" s="363"/>
      <c r="T42" s="363"/>
      <c r="U42" s="362">
        <f t="shared" si="45"/>
        <v>0</v>
      </c>
      <c r="V42" s="362" t="str">
        <f t="shared" si="23"/>
        <v>MATCH</v>
      </c>
      <c r="W42" s="387">
        <v>0</v>
      </c>
      <c r="X42" s="387">
        <f t="shared" si="142"/>
        <v>0</v>
      </c>
      <c r="Y42" s="388">
        <v>0</v>
      </c>
      <c r="Z42" s="389">
        <v>0</v>
      </c>
      <c r="AA42" s="252"/>
      <c r="AB42" s="253"/>
      <c r="AC42" s="253"/>
      <c r="AD42" s="253"/>
      <c r="AE42" s="253"/>
      <c r="AF42" s="253"/>
      <c r="AG42" s="253"/>
      <c r="AH42" s="362">
        <f t="shared" si="11"/>
        <v>0</v>
      </c>
      <c r="AI42" s="362" t="str">
        <f t="shared" si="25"/>
        <v>MATCH</v>
      </c>
      <c r="AJ42" s="254">
        <v>0</v>
      </c>
      <c r="AK42" s="252"/>
      <c r="AL42" s="253"/>
      <c r="AM42" s="253"/>
      <c r="AN42" s="253"/>
      <c r="AO42" s="253"/>
      <c r="AP42" s="253"/>
      <c r="AQ42" s="253"/>
      <c r="AR42" s="254">
        <v>0</v>
      </c>
      <c r="AS42" s="390">
        <f t="shared" si="95"/>
        <v>0</v>
      </c>
      <c r="AT42" s="252"/>
      <c r="AU42" s="253"/>
      <c r="AV42" s="253"/>
      <c r="AW42" s="253">
        <f t="shared" si="40"/>
        <v>0</v>
      </c>
      <c r="AX42" s="253"/>
      <c r="AY42" s="253"/>
      <c r="AZ42" s="253"/>
      <c r="BA42" s="253">
        <f t="shared" si="41"/>
        <v>0</v>
      </c>
      <c r="BB42" s="362">
        <f t="shared" si="13"/>
        <v>0</v>
      </c>
      <c r="BC42" s="362" t="str">
        <f t="shared" si="27"/>
        <v>MATCH</v>
      </c>
      <c r="BD42" s="254">
        <v>0</v>
      </c>
      <c r="BE42" s="391">
        <v>0</v>
      </c>
      <c r="BF42" s="388">
        <v>0</v>
      </c>
      <c r="BG42" s="281" t="e">
        <f t="shared" si="30"/>
        <v>#DIV/0!</v>
      </c>
      <c r="BH42" s="167" t="e">
        <f t="shared" si="89"/>
        <v>#DIV/0!</v>
      </c>
      <c r="BI42" s="255" t="e">
        <f t="shared" si="90"/>
        <v>#DIV/0!</v>
      </c>
      <c r="BJ42" s="167" t="e">
        <f t="shared" ref="BJ42:BJ49" si="143">BD42/BL42</f>
        <v>#DIV/0!</v>
      </c>
      <c r="BK42" s="280" t="e">
        <f t="shared" ref="BK42:BK49" si="144">BD42/BN42</f>
        <v>#DIV/0!</v>
      </c>
      <c r="BL42" s="127">
        <v>0</v>
      </c>
      <c r="BM42" s="107">
        <v>0</v>
      </c>
      <c r="BN42" s="285">
        <v>0</v>
      </c>
      <c r="BO42" s="112"/>
      <c r="BP42" s="102"/>
      <c r="BQ42" s="102"/>
      <c r="BR42" s="102"/>
      <c r="BS42" s="102"/>
      <c r="BT42" s="102"/>
      <c r="BU42" s="102"/>
      <c r="BV42" s="102"/>
      <c r="BW42" s="102"/>
      <c r="BX42" s="102"/>
      <c r="BY42" s="102"/>
      <c r="BZ42" s="102"/>
      <c r="CA42" s="102"/>
      <c r="CB42" s="286"/>
    </row>
    <row r="43" spans="1:82" ht="14.25" hidden="1" customHeight="1" x14ac:dyDescent="0.35">
      <c r="A43" s="320" t="s">
        <v>525</v>
      </c>
      <c r="B43" s="252"/>
      <c r="C43" s="253"/>
      <c r="D43" s="253"/>
      <c r="E43" s="253"/>
      <c r="F43" s="253"/>
      <c r="G43" s="253"/>
      <c r="H43" s="253"/>
      <c r="I43" s="253"/>
      <c r="J43" s="362">
        <f t="shared" si="19"/>
        <v>0</v>
      </c>
      <c r="K43" s="362" t="str">
        <f t="shared" si="20"/>
        <v>MATCH</v>
      </c>
      <c r="L43" s="362">
        <v>0</v>
      </c>
      <c r="M43" s="252"/>
      <c r="N43" s="363"/>
      <c r="O43" s="363"/>
      <c r="P43" s="363"/>
      <c r="Q43" s="363"/>
      <c r="R43" s="363"/>
      <c r="S43" s="363"/>
      <c r="T43" s="363"/>
      <c r="U43" s="362">
        <f t="shared" si="45"/>
        <v>0</v>
      </c>
      <c r="V43" s="362" t="str">
        <f t="shared" si="23"/>
        <v>MATCH</v>
      </c>
      <c r="W43" s="387">
        <v>0</v>
      </c>
      <c r="X43" s="387">
        <f t="shared" si="142"/>
        <v>0</v>
      </c>
      <c r="Y43" s="388">
        <v>0</v>
      </c>
      <c r="Z43" s="389">
        <v>0</v>
      </c>
      <c r="AA43" s="252"/>
      <c r="AB43" s="253"/>
      <c r="AC43" s="253"/>
      <c r="AD43" s="253"/>
      <c r="AE43" s="253"/>
      <c r="AF43" s="253"/>
      <c r="AG43" s="253"/>
      <c r="AH43" s="362">
        <f t="shared" si="11"/>
        <v>0</v>
      </c>
      <c r="AI43" s="362" t="str">
        <f t="shared" si="25"/>
        <v>MATCH</v>
      </c>
      <c r="AJ43" s="254">
        <v>0</v>
      </c>
      <c r="AK43" s="252"/>
      <c r="AL43" s="253"/>
      <c r="AM43" s="253"/>
      <c r="AN43" s="253"/>
      <c r="AO43" s="253"/>
      <c r="AP43" s="253"/>
      <c r="AQ43" s="253"/>
      <c r="AR43" s="254">
        <v>0</v>
      </c>
      <c r="AS43" s="390">
        <f t="shared" si="95"/>
        <v>0</v>
      </c>
      <c r="AT43" s="252"/>
      <c r="AU43" s="253"/>
      <c r="AV43" s="253"/>
      <c r="AW43" s="253">
        <f t="shared" si="40"/>
        <v>0</v>
      </c>
      <c r="AX43" s="253"/>
      <c r="AY43" s="253"/>
      <c r="AZ43" s="253"/>
      <c r="BA43" s="253">
        <f t="shared" si="41"/>
        <v>0</v>
      </c>
      <c r="BB43" s="362">
        <f t="shared" si="13"/>
        <v>0</v>
      </c>
      <c r="BC43" s="362" t="str">
        <f t="shared" si="27"/>
        <v>MATCH</v>
      </c>
      <c r="BD43" s="254">
        <v>0</v>
      </c>
      <c r="BE43" s="391">
        <v>0</v>
      </c>
      <c r="BF43" s="388">
        <v>0</v>
      </c>
      <c r="BG43" s="281" t="e">
        <f t="shared" si="30"/>
        <v>#DIV/0!</v>
      </c>
      <c r="BH43" s="167" t="e">
        <f t="shared" si="89"/>
        <v>#DIV/0!</v>
      </c>
      <c r="BI43" s="255" t="e">
        <f t="shared" si="90"/>
        <v>#DIV/0!</v>
      </c>
      <c r="BJ43" s="167" t="e">
        <f t="shared" si="143"/>
        <v>#DIV/0!</v>
      </c>
      <c r="BK43" s="280" t="e">
        <f t="shared" si="144"/>
        <v>#DIV/0!</v>
      </c>
      <c r="BL43" s="127">
        <v>0</v>
      </c>
      <c r="BM43" s="107">
        <v>0</v>
      </c>
      <c r="BN43" s="285">
        <v>0</v>
      </c>
      <c r="BO43" s="112"/>
      <c r="BP43" s="102"/>
      <c r="BQ43" s="102"/>
      <c r="BR43" s="102"/>
      <c r="BS43" s="102"/>
      <c r="BT43" s="102"/>
      <c r="BU43" s="102"/>
      <c r="BV43" s="102"/>
      <c r="BW43" s="102"/>
      <c r="BX43" s="102"/>
      <c r="BY43" s="102"/>
      <c r="BZ43" s="102"/>
      <c r="CA43" s="102"/>
      <c r="CB43" s="286"/>
    </row>
    <row r="44" spans="1:82" ht="14.25" hidden="1" customHeight="1" x14ac:dyDescent="0.35">
      <c r="A44" s="320" t="s">
        <v>526</v>
      </c>
      <c r="B44" s="252"/>
      <c r="C44" s="253"/>
      <c r="D44" s="253"/>
      <c r="E44" s="253"/>
      <c r="F44" s="253"/>
      <c r="G44" s="253"/>
      <c r="H44" s="253"/>
      <c r="I44" s="253"/>
      <c r="J44" s="362">
        <f t="shared" si="19"/>
        <v>0</v>
      </c>
      <c r="K44" s="362" t="str">
        <f t="shared" si="20"/>
        <v>MATCH</v>
      </c>
      <c r="L44" s="362">
        <v>0</v>
      </c>
      <c r="M44" s="252"/>
      <c r="N44" s="363"/>
      <c r="O44" s="363"/>
      <c r="P44" s="363"/>
      <c r="Q44" s="363"/>
      <c r="R44" s="363"/>
      <c r="S44" s="363"/>
      <c r="T44" s="363"/>
      <c r="U44" s="362">
        <f t="shared" si="45"/>
        <v>0</v>
      </c>
      <c r="V44" s="362" t="str">
        <f t="shared" si="23"/>
        <v>MATCH</v>
      </c>
      <c r="W44" s="387">
        <v>0</v>
      </c>
      <c r="X44" s="387">
        <f t="shared" si="142"/>
        <v>0</v>
      </c>
      <c r="Y44" s="388">
        <v>0</v>
      </c>
      <c r="Z44" s="389">
        <v>0</v>
      </c>
      <c r="AA44" s="252"/>
      <c r="AB44" s="253"/>
      <c r="AC44" s="253"/>
      <c r="AD44" s="253"/>
      <c r="AE44" s="253"/>
      <c r="AF44" s="253"/>
      <c r="AG44" s="253"/>
      <c r="AH44" s="362">
        <f t="shared" si="11"/>
        <v>0</v>
      </c>
      <c r="AI44" s="362" t="str">
        <f t="shared" si="25"/>
        <v>MATCH</v>
      </c>
      <c r="AJ44" s="254">
        <v>0</v>
      </c>
      <c r="AK44" s="252"/>
      <c r="AL44" s="253"/>
      <c r="AM44" s="253"/>
      <c r="AN44" s="253"/>
      <c r="AO44" s="253"/>
      <c r="AP44" s="253"/>
      <c r="AQ44" s="253"/>
      <c r="AR44" s="254">
        <v>0</v>
      </c>
      <c r="AS44" s="390">
        <f t="shared" si="95"/>
        <v>0</v>
      </c>
      <c r="AT44" s="252"/>
      <c r="AU44" s="253"/>
      <c r="AV44" s="253"/>
      <c r="AW44" s="253">
        <f t="shared" si="40"/>
        <v>0</v>
      </c>
      <c r="AX44" s="253"/>
      <c r="AY44" s="253"/>
      <c r="AZ44" s="253"/>
      <c r="BA44" s="253">
        <f t="shared" si="41"/>
        <v>0</v>
      </c>
      <c r="BB44" s="362">
        <f t="shared" si="13"/>
        <v>0</v>
      </c>
      <c r="BC44" s="362" t="str">
        <f t="shared" si="27"/>
        <v>MATCH</v>
      </c>
      <c r="BD44" s="254">
        <v>0</v>
      </c>
      <c r="BE44" s="391">
        <v>0</v>
      </c>
      <c r="BF44" s="388">
        <v>0</v>
      </c>
      <c r="BG44" s="281" t="e">
        <f t="shared" si="30"/>
        <v>#DIV/0!</v>
      </c>
      <c r="BH44" s="167" t="e">
        <f t="shared" si="89"/>
        <v>#DIV/0!</v>
      </c>
      <c r="BI44" s="255" t="e">
        <f t="shared" si="90"/>
        <v>#DIV/0!</v>
      </c>
      <c r="BJ44" s="167" t="e">
        <f t="shared" si="143"/>
        <v>#DIV/0!</v>
      </c>
      <c r="BK44" s="280" t="e">
        <f t="shared" si="144"/>
        <v>#DIV/0!</v>
      </c>
      <c r="BL44" s="127">
        <v>0</v>
      </c>
      <c r="BM44" s="107">
        <v>0</v>
      </c>
      <c r="BN44" s="285">
        <v>0</v>
      </c>
      <c r="BO44" s="112"/>
      <c r="BP44" s="102"/>
      <c r="BQ44" s="102"/>
      <c r="BR44" s="102"/>
      <c r="BS44" s="102"/>
      <c r="BT44" s="102"/>
      <c r="BU44" s="102"/>
      <c r="BV44" s="102"/>
      <c r="BW44" s="102"/>
      <c r="BX44" s="102"/>
      <c r="BY44" s="102"/>
      <c r="BZ44" s="102"/>
      <c r="CA44" s="102"/>
      <c r="CB44" s="286"/>
    </row>
    <row r="45" spans="1:82" ht="14.25" hidden="1" customHeight="1" x14ac:dyDescent="0.35">
      <c r="A45" s="320" t="s">
        <v>527</v>
      </c>
      <c r="B45" s="252"/>
      <c r="C45" s="253"/>
      <c r="D45" s="253"/>
      <c r="E45" s="253"/>
      <c r="F45" s="253"/>
      <c r="G45" s="253"/>
      <c r="H45" s="253"/>
      <c r="I45" s="253"/>
      <c r="J45" s="362">
        <f t="shared" si="19"/>
        <v>0</v>
      </c>
      <c r="K45" s="362" t="str">
        <f t="shared" si="20"/>
        <v>MATCH</v>
      </c>
      <c r="L45" s="362">
        <v>0</v>
      </c>
      <c r="M45" s="252"/>
      <c r="N45" s="363"/>
      <c r="O45" s="363"/>
      <c r="P45" s="363"/>
      <c r="Q45" s="363"/>
      <c r="R45" s="363"/>
      <c r="S45" s="363"/>
      <c r="T45" s="363"/>
      <c r="U45" s="362">
        <f t="shared" si="45"/>
        <v>0</v>
      </c>
      <c r="V45" s="362" t="str">
        <f t="shared" si="23"/>
        <v>MATCH</v>
      </c>
      <c r="W45" s="387">
        <v>0</v>
      </c>
      <c r="X45" s="387">
        <f t="shared" si="142"/>
        <v>0</v>
      </c>
      <c r="Y45" s="388">
        <v>0</v>
      </c>
      <c r="Z45" s="389">
        <v>0</v>
      </c>
      <c r="AA45" s="252"/>
      <c r="AB45" s="253"/>
      <c r="AC45" s="253"/>
      <c r="AD45" s="253"/>
      <c r="AE45" s="253"/>
      <c r="AF45" s="253"/>
      <c r="AG45" s="253"/>
      <c r="AH45" s="362">
        <f t="shared" si="11"/>
        <v>0</v>
      </c>
      <c r="AI45" s="362" t="str">
        <f t="shared" si="25"/>
        <v>MATCH</v>
      </c>
      <c r="AJ45" s="254">
        <v>0</v>
      </c>
      <c r="AK45" s="252"/>
      <c r="AL45" s="253"/>
      <c r="AM45" s="253"/>
      <c r="AN45" s="253"/>
      <c r="AO45" s="253"/>
      <c r="AP45" s="253"/>
      <c r="AQ45" s="253"/>
      <c r="AR45" s="254">
        <v>0</v>
      </c>
      <c r="AS45" s="390">
        <f t="shared" si="95"/>
        <v>0</v>
      </c>
      <c r="AT45" s="252"/>
      <c r="AU45" s="253"/>
      <c r="AV45" s="253"/>
      <c r="AW45" s="253">
        <f t="shared" si="40"/>
        <v>0</v>
      </c>
      <c r="AX45" s="253"/>
      <c r="AY45" s="253"/>
      <c r="AZ45" s="253"/>
      <c r="BA45" s="253">
        <f t="shared" si="41"/>
        <v>0</v>
      </c>
      <c r="BB45" s="362">
        <f t="shared" si="13"/>
        <v>0</v>
      </c>
      <c r="BC45" s="362" t="str">
        <f t="shared" si="27"/>
        <v>MATCH</v>
      </c>
      <c r="BD45" s="254">
        <v>0</v>
      </c>
      <c r="BE45" s="391">
        <v>0</v>
      </c>
      <c r="BF45" s="388">
        <v>0</v>
      </c>
      <c r="BG45" s="281" t="e">
        <f t="shared" si="30"/>
        <v>#DIV/0!</v>
      </c>
      <c r="BH45" s="167" t="e">
        <f t="shared" si="89"/>
        <v>#DIV/0!</v>
      </c>
      <c r="BI45" s="255" t="e">
        <f t="shared" si="90"/>
        <v>#DIV/0!</v>
      </c>
      <c r="BJ45" s="167" t="e">
        <f t="shared" si="143"/>
        <v>#DIV/0!</v>
      </c>
      <c r="BK45" s="280" t="e">
        <f t="shared" si="144"/>
        <v>#DIV/0!</v>
      </c>
      <c r="BL45" s="127">
        <v>0</v>
      </c>
      <c r="BM45" s="107">
        <v>0</v>
      </c>
      <c r="BN45" s="285">
        <v>0</v>
      </c>
      <c r="BO45" s="112"/>
      <c r="BP45" s="102"/>
      <c r="BQ45" s="102"/>
      <c r="BR45" s="102"/>
      <c r="BS45" s="102"/>
      <c r="BT45" s="102"/>
      <c r="BU45" s="102"/>
      <c r="BV45" s="102"/>
      <c r="BW45" s="102"/>
      <c r="BX45" s="102"/>
      <c r="BY45" s="102"/>
      <c r="BZ45" s="102"/>
      <c r="CA45" s="102"/>
      <c r="CB45" s="286"/>
    </row>
    <row r="46" spans="1:82" ht="14.25" hidden="1" customHeight="1" x14ac:dyDescent="0.35">
      <c r="A46" s="320" t="s">
        <v>528</v>
      </c>
      <c r="B46" s="252"/>
      <c r="C46" s="253"/>
      <c r="D46" s="253"/>
      <c r="E46" s="253"/>
      <c r="F46" s="253"/>
      <c r="G46" s="253"/>
      <c r="H46" s="253"/>
      <c r="I46" s="253"/>
      <c r="J46" s="362">
        <f t="shared" si="19"/>
        <v>0</v>
      </c>
      <c r="K46" s="362" t="str">
        <f t="shared" si="20"/>
        <v>MATCH</v>
      </c>
      <c r="L46" s="362">
        <v>0</v>
      </c>
      <c r="M46" s="252"/>
      <c r="N46" s="363"/>
      <c r="O46" s="363"/>
      <c r="P46" s="363"/>
      <c r="Q46" s="363"/>
      <c r="R46" s="363"/>
      <c r="S46" s="363"/>
      <c r="T46" s="363"/>
      <c r="U46" s="362">
        <f t="shared" si="45"/>
        <v>0</v>
      </c>
      <c r="V46" s="362" t="str">
        <f t="shared" si="23"/>
        <v>MATCH</v>
      </c>
      <c r="W46" s="387">
        <v>0</v>
      </c>
      <c r="X46" s="387">
        <f t="shared" si="142"/>
        <v>0</v>
      </c>
      <c r="Y46" s="388">
        <v>0</v>
      </c>
      <c r="Z46" s="389">
        <v>0</v>
      </c>
      <c r="AA46" s="252"/>
      <c r="AB46" s="253"/>
      <c r="AC46" s="253"/>
      <c r="AD46" s="253"/>
      <c r="AE46" s="253"/>
      <c r="AF46" s="253"/>
      <c r="AG46" s="253"/>
      <c r="AH46" s="362">
        <f t="shared" si="11"/>
        <v>0</v>
      </c>
      <c r="AI46" s="362" t="str">
        <f t="shared" si="25"/>
        <v>MATCH</v>
      </c>
      <c r="AJ46" s="254">
        <v>0</v>
      </c>
      <c r="AK46" s="252"/>
      <c r="AL46" s="253"/>
      <c r="AM46" s="253"/>
      <c r="AN46" s="253"/>
      <c r="AO46" s="253"/>
      <c r="AP46" s="253"/>
      <c r="AQ46" s="253"/>
      <c r="AR46" s="254">
        <v>0</v>
      </c>
      <c r="AS46" s="390">
        <f t="shared" si="95"/>
        <v>0</v>
      </c>
      <c r="AT46" s="252"/>
      <c r="AU46" s="253"/>
      <c r="AV46" s="253"/>
      <c r="AW46" s="253">
        <f t="shared" si="40"/>
        <v>0</v>
      </c>
      <c r="AX46" s="253"/>
      <c r="AY46" s="253"/>
      <c r="AZ46" s="253"/>
      <c r="BA46" s="253">
        <f t="shared" si="41"/>
        <v>0</v>
      </c>
      <c r="BB46" s="362">
        <f t="shared" si="13"/>
        <v>0</v>
      </c>
      <c r="BC46" s="362" t="str">
        <f t="shared" si="27"/>
        <v>MATCH</v>
      </c>
      <c r="BD46" s="254">
        <v>0</v>
      </c>
      <c r="BE46" s="391">
        <v>0</v>
      </c>
      <c r="BF46" s="388">
        <v>0</v>
      </c>
      <c r="BG46" s="281" t="e">
        <f t="shared" si="30"/>
        <v>#DIV/0!</v>
      </c>
      <c r="BH46" s="167" t="e">
        <f t="shared" si="89"/>
        <v>#DIV/0!</v>
      </c>
      <c r="BI46" s="255" t="e">
        <f t="shared" si="90"/>
        <v>#DIV/0!</v>
      </c>
      <c r="BJ46" s="167" t="e">
        <f t="shared" si="143"/>
        <v>#DIV/0!</v>
      </c>
      <c r="BK46" s="280" t="e">
        <f t="shared" si="144"/>
        <v>#DIV/0!</v>
      </c>
      <c r="BL46" s="127">
        <v>0</v>
      </c>
      <c r="BM46" s="107">
        <v>0</v>
      </c>
      <c r="BN46" s="285">
        <v>0</v>
      </c>
      <c r="BO46" s="112"/>
      <c r="BP46" s="102"/>
      <c r="BQ46" s="102"/>
      <c r="BR46" s="102"/>
      <c r="BS46" s="102"/>
      <c r="BT46" s="102"/>
      <c r="BU46" s="102"/>
      <c r="BV46" s="102"/>
      <c r="BW46" s="102"/>
      <c r="BX46" s="102"/>
      <c r="BY46" s="102"/>
      <c r="BZ46" s="102"/>
      <c r="CA46" s="102"/>
      <c r="CB46" s="286"/>
    </row>
    <row r="47" spans="1:82" ht="14.25" hidden="1" customHeight="1" x14ac:dyDescent="0.35">
      <c r="A47" s="320" t="s">
        <v>529</v>
      </c>
      <c r="B47" s="252"/>
      <c r="C47" s="253"/>
      <c r="D47" s="253"/>
      <c r="E47" s="253"/>
      <c r="F47" s="253"/>
      <c r="G47" s="253"/>
      <c r="H47" s="253"/>
      <c r="I47" s="253"/>
      <c r="J47" s="362">
        <f t="shared" si="19"/>
        <v>0</v>
      </c>
      <c r="K47" s="362" t="str">
        <f t="shared" si="20"/>
        <v>MATCH</v>
      </c>
      <c r="L47" s="362">
        <v>0</v>
      </c>
      <c r="M47" s="252"/>
      <c r="N47" s="363"/>
      <c r="O47" s="363"/>
      <c r="P47" s="363"/>
      <c r="Q47" s="363"/>
      <c r="R47" s="363"/>
      <c r="S47" s="363"/>
      <c r="T47" s="363"/>
      <c r="U47" s="362">
        <f t="shared" si="45"/>
        <v>0</v>
      </c>
      <c r="V47" s="362" t="str">
        <f t="shared" si="23"/>
        <v>MATCH</v>
      </c>
      <c r="W47" s="387">
        <v>0</v>
      </c>
      <c r="X47" s="387">
        <f t="shared" si="142"/>
        <v>0</v>
      </c>
      <c r="Y47" s="388">
        <v>0</v>
      </c>
      <c r="Z47" s="389">
        <v>0</v>
      </c>
      <c r="AA47" s="252"/>
      <c r="AB47" s="253"/>
      <c r="AC47" s="253"/>
      <c r="AD47" s="253"/>
      <c r="AE47" s="253"/>
      <c r="AF47" s="253"/>
      <c r="AG47" s="253"/>
      <c r="AH47" s="362">
        <f t="shared" si="11"/>
        <v>0</v>
      </c>
      <c r="AI47" s="362" t="str">
        <f t="shared" si="25"/>
        <v>MATCH</v>
      </c>
      <c r="AJ47" s="254">
        <v>0</v>
      </c>
      <c r="AK47" s="252"/>
      <c r="AL47" s="253"/>
      <c r="AM47" s="253"/>
      <c r="AN47" s="253"/>
      <c r="AO47" s="253"/>
      <c r="AP47" s="253"/>
      <c r="AQ47" s="253"/>
      <c r="AR47" s="254">
        <v>0</v>
      </c>
      <c r="AS47" s="390">
        <f t="shared" si="95"/>
        <v>0</v>
      </c>
      <c r="AT47" s="252"/>
      <c r="AU47" s="253"/>
      <c r="AV47" s="253"/>
      <c r="AW47" s="253">
        <f t="shared" si="40"/>
        <v>0</v>
      </c>
      <c r="AX47" s="253"/>
      <c r="AY47" s="253"/>
      <c r="AZ47" s="253"/>
      <c r="BA47" s="253">
        <f t="shared" si="41"/>
        <v>0</v>
      </c>
      <c r="BB47" s="362">
        <f t="shared" si="13"/>
        <v>0</v>
      </c>
      <c r="BC47" s="362" t="str">
        <f t="shared" si="27"/>
        <v>MATCH</v>
      </c>
      <c r="BD47" s="254">
        <v>0</v>
      </c>
      <c r="BE47" s="391">
        <v>0</v>
      </c>
      <c r="BF47" s="388">
        <v>0</v>
      </c>
      <c r="BG47" s="281" t="e">
        <f t="shared" si="30"/>
        <v>#DIV/0!</v>
      </c>
      <c r="BH47" s="167" t="e">
        <f t="shared" si="89"/>
        <v>#DIV/0!</v>
      </c>
      <c r="BI47" s="255" t="e">
        <f t="shared" si="90"/>
        <v>#DIV/0!</v>
      </c>
      <c r="BJ47" s="167" t="e">
        <f t="shared" si="143"/>
        <v>#DIV/0!</v>
      </c>
      <c r="BK47" s="280" t="e">
        <f t="shared" si="144"/>
        <v>#DIV/0!</v>
      </c>
      <c r="BL47" s="127">
        <v>0</v>
      </c>
      <c r="BM47" s="107">
        <v>0</v>
      </c>
      <c r="BN47" s="285">
        <v>0</v>
      </c>
      <c r="BO47" s="112"/>
      <c r="BP47" s="102"/>
      <c r="BQ47" s="102"/>
      <c r="BR47" s="102"/>
      <c r="BS47" s="102"/>
      <c r="BT47" s="102"/>
      <c r="BU47" s="102"/>
      <c r="BV47" s="102"/>
      <c r="BW47" s="102"/>
      <c r="BX47" s="102"/>
      <c r="BY47" s="102"/>
      <c r="BZ47" s="102"/>
      <c r="CA47" s="102"/>
      <c r="CB47" s="286"/>
    </row>
    <row r="48" spans="1:82" ht="14.25" hidden="1" customHeight="1" x14ac:dyDescent="0.35">
      <c r="A48" s="320" t="s">
        <v>530</v>
      </c>
      <c r="B48" s="252"/>
      <c r="C48" s="253"/>
      <c r="D48" s="253"/>
      <c r="E48" s="253"/>
      <c r="F48" s="253"/>
      <c r="G48" s="253"/>
      <c r="H48" s="253"/>
      <c r="I48" s="253"/>
      <c r="J48" s="362">
        <f t="shared" si="19"/>
        <v>0</v>
      </c>
      <c r="K48" s="362" t="str">
        <f t="shared" si="20"/>
        <v>MATCH</v>
      </c>
      <c r="L48" s="362">
        <v>0</v>
      </c>
      <c r="M48" s="252"/>
      <c r="N48" s="363"/>
      <c r="O48" s="363"/>
      <c r="P48" s="363"/>
      <c r="Q48" s="363"/>
      <c r="R48" s="363"/>
      <c r="S48" s="363"/>
      <c r="T48" s="363"/>
      <c r="U48" s="362">
        <f t="shared" si="45"/>
        <v>0</v>
      </c>
      <c r="V48" s="362" t="str">
        <f t="shared" si="23"/>
        <v>MATCH</v>
      </c>
      <c r="W48" s="387">
        <v>0</v>
      </c>
      <c r="X48" s="387">
        <f t="shared" si="142"/>
        <v>0</v>
      </c>
      <c r="Y48" s="388">
        <v>0</v>
      </c>
      <c r="Z48" s="389">
        <v>0</v>
      </c>
      <c r="AA48" s="252"/>
      <c r="AB48" s="253"/>
      <c r="AC48" s="253"/>
      <c r="AD48" s="253"/>
      <c r="AE48" s="253"/>
      <c r="AF48" s="253"/>
      <c r="AG48" s="253"/>
      <c r="AH48" s="362">
        <f t="shared" si="11"/>
        <v>0</v>
      </c>
      <c r="AI48" s="362" t="str">
        <f t="shared" si="25"/>
        <v>MATCH</v>
      </c>
      <c r="AJ48" s="254">
        <v>0</v>
      </c>
      <c r="AK48" s="252"/>
      <c r="AL48" s="253"/>
      <c r="AM48" s="253"/>
      <c r="AN48" s="253"/>
      <c r="AO48" s="253"/>
      <c r="AP48" s="253"/>
      <c r="AQ48" s="253"/>
      <c r="AR48" s="254">
        <v>0</v>
      </c>
      <c r="AS48" s="390">
        <f t="shared" si="95"/>
        <v>0</v>
      </c>
      <c r="AT48" s="252"/>
      <c r="AU48" s="253"/>
      <c r="AV48" s="253"/>
      <c r="AW48" s="253">
        <f t="shared" si="40"/>
        <v>0</v>
      </c>
      <c r="AX48" s="253"/>
      <c r="AY48" s="253"/>
      <c r="AZ48" s="253"/>
      <c r="BA48" s="253">
        <f t="shared" si="41"/>
        <v>0</v>
      </c>
      <c r="BB48" s="362">
        <f t="shared" si="13"/>
        <v>0</v>
      </c>
      <c r="BC48" s="362" t="str">
        <f t="shared" si="27"/>
        <v>MATCH</v>
      </c>
      <c r="BD48" s="254">
        <v>0</v>
      </c>
      <c r="BE48" s="391">
        <v>0</v>
      </c>
      <c r="BF48" s="388">
        <v>0</v>
      </c>
      <c r="BG48" s="281" t="e">
        <f t="shared" si="30"/>
        <v>#DIV/0!</v>
      </c>
      <c r="BH48" s="167" t="e">
        <f t="shared" si="89"/>
        <v>#DIV/0!</v>
      </c>
      <c r="BI48" s="255" t="e">
        <f t="shared" si="90"/>
        <v>#DIV/0!</v>
      </c>
      <c r="BJ48" s="167" t="e">
        <f t="shared" si="143"/>
        <v>#DIV/0!</v>
      </c>
      <c r="BK48" s="280" t="e">
        <f t="shared" si="144"/>
        <v>#DIV/0!</v>
      </c>
      <c r="BL48" s="127">
        <v>0</v>
      </c>
      <c r="BM48" s="107">
        <v>0</v>
      </c>
      <c r="BN48" s="285">
        <v>0</v>
      </c>
      <c r="BO48" s="112"/>
      <c r="BP48" s="102"/>
      <c r="BQ48" s="102"/>
      <c r="BR48" s="102"/>
      <c r="BS48" s="102"/>
      <c r="BT48" s="102"/>
      <c r="BU48" s="102"/>
      <c r="BV48" s="102"/>
      <c r="BW48" s="102"/>
      <c r="BX48" s="102"/>
      <c r="BY48" s="102"/>
      <c r="BZ48" s="102"/>
      <c r="CA48" s="102"/>
      <c r="CB48" s="286"/>
    </row>
    <row r="49" spans="1:82" ht="14.25" hidden="1" customHeight="1" x14ac:dyDescent="0.35">
      <c r="A49" s="320" t="s">
        <v>531</v>
      </c>
      <c r="B49" s="252"/>
      <c r="C49" s="253"/>
      <c r="D49" s="253"/>
      <c r="E49" s="253"/>
      <c r="F49" s="253"/>
      <c r="G49" s="253"/>
      <c r="H49" s="253"/>
      <c r="I49" s="253"/>
      <c r="J49" s="362">
        <f t="shared" si="19"/>
        <v>0</v>
      </c>
      <c r="K49" s="362" t="str">
        <f t="shared" si="20"/>
        <v>MATCH</v>
      </c>
      <c r="L49" s="362">
        <v>0</v>
      </c>
      <c r="M49" s="252"/>
      <c r="N49" s="363"/>
      <c r="O49" s="363"/>
      <c r="P49" s="363"/>
      <c r="Q49" s="363"/>
      <c r="R49" s="363"/>
      <c r="S49" s="363"/>
      <c r="T49" s="363"/>
      <c r="U49" s="362">
        <f t="shared" si="45"/>
        <v>0</v>
      </c>
      <c r="V49" s="362" t="str">
        <f t="shared" si="23"/>
        <v>MATCH</v>
      </c>
      <c r="W49" s="387">
        <v>0</v>
      </c>
      <c r="X49" s="387">
        <f t="shared" si="142"/>
        <v>0</v>
      </c>
      <c r="Y49" s="388">
        <v>0</v>
      </c>
      <c r="Z49" s="389">
        <v>0</v>
      </c>
      <c r="AA49" s="252"/>
      <c r="AB49" s="253"/>
      <c r="AC49" s="253"/>
      <c r="AD49" s="253"/>
      <c r="AE49" s="253"/>
      <c r="AF49" s="253"/>
      <c r="AG49" s="253"/>
      <c r="AH49" s="362">
        <f t="shared" si="11"/>
        <v>0</v>
      </c>
      <c r="AI49" s="362" t="str">
        <f t="shared" si="25"/>
        <v>MATCH</v>
      </c>
      <c r="AJ49" s="254">
        <v>0</v>
      </c>
      <c r="AK49" s="252"/>
      <c r="AL49" s="253"/>
      <c r="AM49" s="253"/>
      <c r="AN49" s="253"/>
      <c r="AO49" s="253"/>
      <c r="AP49" s="253"/>
      <c r="AQ49" s="253"/>
      <c r="AR49" s="254">
        <v>0</v>
      </c>
      <c r="AS49" s="390">
        <f t="shared" si="95"/>
        <v>0</v>
      </c>
      <c r="AT49" s="252"/>
      <c r="AU49" s="253"/>
      <c r="AV49" s="253"/>
      <c r="AW49" s="253">
        <f t="shared" si="40"/>
        <v>0</v>
      </c>
      <c r="AX49" s="253"/>
      <c r="AY49" s="253"/>
      <c r="AZ49" s="253"/>
      <c r="BA49" s="253">
        <f t="shared" si="41"/>
        <v>0</v>
      </c>
      <c r="BB49" s="362">
        <f t="shared" si="13"/>
        <v>0</v>
      </c>
      <c r="BC49" s="362" t="str">
        <f t="shared" si="27"/>
        <v>MATCH</v>
      </c>
      <c r="BD49" s="254">
        <v>0</v>
      </c>
      <c r="BE49" s="391">
        <v>0</v>
      </c>
      <c r="BF49" s="388">
        <v>0</v>
      </c>
      <c r="BG49" s="281" t="e">
        <f t="shared" si="30"/>
        <v>#DIV/0!</v>
      </c>
      <c r="BH49" s="167" t="e">
        <f t="shared" si="89"/>
        <v>#DIV/0!</v>
      </c>
      <c r="BI49" s="255" t="e">
        <f t="shared" si="90"/>
        <v>#DIV/0!</v>
      </c>
      <c r="BJ49" s="167" t="e">
        <f t="shared" si="143"/>
        <v>#DIV/0!</v>
      </c>
      <c r="BK49" s="280" t="e">
        <f t="shared" si="144"/>
        <v>#DIV/0!</v>
      </c>
      <c r="BL49" s="127">
        <v>0</v>
      </c>
      <c r="BM49" s="107">
        <v>0</v>
      </c>
      <c r="BN49" s="285">
        <v>0</v>
      </c>
      <c r="BO49" s="112"/>
      <c r="BP49" s="102"/>
      <c r="BQ49" s="102"/>
      <c r="BR49" s="102"/>
      <c r="BS49" s="102"/>
      <c r="BT49" s="102"/>
      <c r="BU49" s="102"/>
      <c r="BV49" s="102"/>
      <c r="BW49" s="102"/>
      <c r="BX49" s="102"/>
      <c r="BY49" s="102"/>
      <c r="BZ49" s="102"/>
      <c r="CA49" s="102"/>
      <c r="CB49" s="286"/>
    </row>
    <row r="50" spans="1:82" ht="14.25" customHeight="1" x14ac:dyDescent="0.35">
      <c r="A50" s="325" t="s">
        <v>386</v>
      </c>
      <c r="B50" s="174">
        <f t="shared" ref="B50:I50" si="145">SUM(B51:B56)</f>
        <v>200053.6</v>
      </c>
      <c r="C50" s="108">
        <f t="shared" si="145"/>
        <v>0</v>
      </c>
      <c r="D50" s="108">
        <f t="shared" si="145"/>
        <v>0</v>
      </c>
      <c r="E50" s="108">
        <f t="shared" si="145"/>
        <v>17146745.810000002</v>
      </c>
      <c r="F50" s="108">
        <f t="shared" si="145"/>
        <v>17958934</v>
      </c>
      <c r="G50" s="108">
        <f t="shared" si="145"/>
        <v>0</v>
      </c>
      <c r="H50" s="108">
        <f t="shared" si="145"/>
        <v>0</v>
      </c>
      <c r="I50" s="108">
        <f t="shared" si="145"/>
        <v>0</v>
      </c>
      <c r="J50" s="284">
        <f t="shared" si="19"/>
        <v>35305733.410000004</v>
      </c>
      <c r="K50" s="284" t="str">
        <f t="shared" si="20"/>
        <v>MATCH</v>
      </c>
      <c r="L50" s="284">
        <f>SUM(L51:L58)</f>
        <v>35305733.409999996</v>
      </c>
      <c r="M50" s="174">
        <f t="shared" ref="M50:T50" si="146">SUM(M51:M56)</f>
        <v>0</v>
      </c>
      <c r="N50" s="126">
        <f t="shared" si="146"/>
        <v>36284</v>
      </c>
      <c r="O50" s="126">
        <f t="shared" si="146"/>
        <v>2527791</v>
      </c>
      <c r="P50" s="126">
        <f t="shared" si="146"/>
        <v>0</v>
      </c>
      <c r="Q50" s="126">
        <f t="shared" si="146"/>
        <v>0</v>
      </c>
      <c r="R50" s="126">
        <f t="shared" si="146"/>
        <v>0</v>
      </c>
      <c r="S50" s="126">
        <f t="shared" si="146"/>
        <v>0</v>
      </c>
      <c r="T50" s="126">
        <f t="shared" si="146"/>
        <v>0</v>
      </c>
      <c r="U50" s="284">
        <f t="shared" si="45"/>
        <v>2564075</v>
      </c>
      <c r="V50" s="284" t="str">
        <f t="shared" si="23"/>
        <v>MATCH</v>
      </c>
      <c r="W50" s="383">
        <f>SUM(W51:W58)</f>
        <v>2564075</v>
      </c>
      <c r="X50" s="383">
        <f>SUM(X51:X58)</f>
        <v>37869808.409999996</v>
      </c>
      <c r="Y50" s="384">
        <f>SUM(Y51:Y58)</f>
        <v>-8186642</v>
      </c>
      <c r="Z50" s="385">
        <f>SUM(Z51:Z58)</f>
        <v>103419967.08</v>
      </c>
      <c r="AA50" s="174">
        <f t="shared" ref="AA50:AG50" si="147">SUM(AA51:AA56)</f>
        <v>0</v>
      </c>
      <c r="AB50" s="108">
        <f t="shared" si="147"/>
        <v>0</v>
      </c>
      <c r="AC50" s="108">
        <f t="shared" si="147"/>
        <v>0</v>
      </c>
      <c r="AD50" s="108">
        <f t="shared" si="147"/>
        <v>3751747</v>
      </c>
      <c r="AE50" s="108">
        <f t="shared" si="147"/>
        <v>0</v>
      </c>
      <c r="AF50" s="108">
        <f t="shared" si="147"/>
        <v>0</v>
      </c>
      <c r="AG50" s="108">
        <f t="shared" si="147"/>
        <v>0</v>
      </c>
      <c r="AH50" s="284">
        <f t="shared" si="11"/>
        <v>3751747</v>
      </c>
      <c r="AI50" s="284" t="str">
        <f t="shared" si="25"/>
        <v>MATCH</v>
      </c>
      <c r="AJ50" s="111">
        <f>SUM(AJ51:AJ58)</f>
        <v>3751747</v>
      </c>
      <c r="AK50" s="174">
        <f t="shared" ref="AK50:AQ50" si="148">SUM(AK51:AK56)</f>
        <v>0</v>
      </c>
      <c r="AL50" s="108">
        <f t="shared" si="148"/>
        <v>0</v>
      </c>
      <c r="AM50" s="108">
        <f t="shared" si="148"/>
        <v>0</v>
      </c>
      <c r="AN50" s="108">
        <f t="shared" si="148"/>
        <v>0</v>
      </c>
      <c r="AO50" s="108">
        <f t="shared" si="148"/>
        <v>0</v>
      </c>
      <c r="AP50" s="108">
        <f t="shared" si="148"/>
        <v>0</v>
      </c>
      <c r="AQ50" s="108">
        <f t="shared" si="148"/>
        <v>0</v>
      </c>
      <c r="AR50" s="111">
        <f>SUM(AR51:AR58)</f>
        <v>0</v>
      </c>
      <c r="AS50" s="386">
        <f t="shared" si="95"/>
        <v>3751747</v>
      </c>
      <c r="AT50" s="174">
        <f t="shared" ref="AT50:BA50" si="149">SUM(AT51:AT56)</f>
        <v>9956105.7699999996</v>
      </c>
      <c r="AU50" s="108">
        <f t="shared" si="149"/>
        <v>5807246.3100000005</v>
      </c>
      <c r="AV50" s="108">
        <f t="shared" si="149"/>
        <v>596738</v>
      </c>
      <c r="AW50" s="108">
        <f t="shared" si="149"/>
        <v>16360090.08</v>
      </c>
      <c r="AX50" s="108">
        <f t="shared" si="149"/>
        <v>6852321.7200000007</v>
      </c>
      <c r="AY50" s="108">
        <f t="shared" si="149"/>
        <v>18187316</v>
      </c>
      <c r="AZ50" s="108">
        <f t="shared" si="149"/>
        <v>948664</v>
      </c>
      <c r="BA50" s="108">
        <f t="shared" si="149"/>
        <v>25988301.719999999</v>
      </c>
      <c r="BB50" s="284">
        <f t="shared" si="13"/>
        <v>42348391.799999997</v>
      </c>
      <c r="BC50" s="284" t="str">
        <f t="shared" si="27"/>
        <v>MATCH</v>
      </c>
      <c r="BD50" s="111">
        <f>SUM(BD51:BD58)</f>
        <v>42348391.800000004</v>
      </c>
      <c r="BE50" s="383">
        <f>SUM(BE51:BE58)</f>
        <v>279031061.35000002</v>
      </c>
      <c r="BF50" s="111">
        <f>SUM(BF51:BF58)</f>
        <v>240911238.24999997</v>
      </c>
      <c r="BG50" s="277">
        <f t="shared" si="30"/>
        <v>0.86338501916034072</v>
      </c>
      <c r="BH50" s="250">
        <f t="shared" si="89"/>
        <v>11.434049710113216</v>
      </c>
      <c r="BI50" s="251">
        <f t="shared" si="90"/>
        <v>0.48065802283213838</v>
      </c>
      <c r="BJ50" s="250">
        <f>BD50/BL50</f>
        <v>12.786270575815438</v>
      </c>
      <c r="BK50" s="278">
        <f>BD50/BN50</f>
        <v>0.53750190791389707</v>
      </c>
      <c r="BL50" s="126">
        <f>SUM(BL51:BL58)</f>
        <v>3312020.62</v>
      </c>
      <c r="BM50" s="108">
        <f>SUM(BM51:BM58)</f>
        <v>37888350.950000003</v>
      </c>
      <c r="BN50" s="284">
        <f>SUM(BN51:BN58)</f>
        <v>78787426.010000005</v>
      </c>
      <c r="BO50" s="112"/>
      <c r="BP50" s="102"/>
      <c r="BQ50" s="102"/>
      <c r="BR50" s="102"/>
      <c r="BS50" s="102"/>
      <c r="BT50" s="102"/>
      <c r="BU50" s="102"/>
      <c r="BV50" s="102"/>
      <c r="BW50" s="102"/>
      <c r="BX50" s="102"/>
      <c r="BY50" s="102"/>
      <c r="BZ50" s="102"/>
      <c r="CA50" s="102"/>
      <c r="CB50" s="286"/>
    </row>
    <row r="51" spans="1:82" s="425" customFormat="1" ht="14.25" customHeight="1" x14ac:dyDescent="0.35">
      <c r="A51" s="416" t="s">
        <v>532</v>
      </c>
      <c r="B51" s="175"/>
      <c r="C51" s="107"/>
      <c r="D51" s="107"/>
      <c r="E51" s="107"/>
      <c r="F51" s="107">
        <f>L51</f>
        <v>17876261</v>
      </c>
      <c r="G51" s="107"/>
      <c r="H51" s="107"/>
      <c r="I51" s="107"/>
      <c r="J51" s="285">
        <f t="shared" si="19"/>
        <v>17876261</v>
      </c>
      <c r="K51" s="285" t="str">
        <f t="shared" si="20"/>
        <v>MATCH</v>
      </c>
      <c r="L51" s="285">
        <v>17876261</v>
      </c>
      <c r="M51" s="175">
        <v>0</v>
      </c>
      <c r="N51" s="127">
        <v>0</v>
      </c>
      <c r="O51" s="127">
        <v>0</v>
      </c>
      <c r="P51" s="127">
        <v>0</v>
      </c>
      <c r="Q51" s="127">
        <v>0</v>
      </c>
      <c r="R51" s="127">
        <v>0</v>
      </c>
      <c r="S51" s="127">
        <v>0</v>
      </c>
      <c r="T51" s="127">
        <v>0</v>
      </c>
      <c r="U51" s="285">
        <f t="shared" si="45"/>
        <v>0</v>
      </c>
      <c r="V51" s="285" t="str">
        <f t="shared" si="23"/>
        <v>MATCH</v>
      </c>
      <c r="W51" s="403">
        <v>0</v>
      </c>
      <c r="X51" s="403">
        <f t="shared" ref="X51:X58" si="150">L51+W51</f>
        <v>17876261</v>
      </c>
      <c r="Y51" s="417">
        <v>2468181</v>
      </c>
      <c r="Z51" s="404">
        <v>48240975.159999996</v>
      </c>
      <c r="AA51" s="175">
        <v>0</v>
      </c>
      <c r="AB51" s="107">
        <v>0</v>
      </c>
      <c r="AC51" s="107">
        <v>0</v>
      </c>
      <c r="AD51" s="107">
        <f>AJ51</f>
        <v>3751747</v>
      </c>
      <c r="AE51" s="107">
        <v>0</v>
      </c>
      <c r="AF51" s="107">
        <v>0</v>
      </c>
      <c r="AG51" s="107">
        <v>0</v>
      </c>
      <c r="AH51" s="285">
        <f t="shared" si="11"/>
        <v>3751747</v>
      </c>
      <c r="AI51" s="285" t="str">
        <f t="shared" si="25"/>
        <v>MATCH</v>
      </c>
      <c r="AJ51" s="113">
        <v>3751747</v>
      </c>
      <c r="AK51" s="175">
        <v>0</v>
      </c>
      <c r="AL51" s="107">
        <v>0</v>
      </c>
      <c r="AM51" s="107">
        <v>0</v>
      </c>
      <c r="AN51" s="107">
        <v>0</v>
      </c>
      <c r="AO51" s="107">
        <v>0</v>
      </c>
      <c r="AP51" s="107">
        <v>0</v>
      </c>
      <c r="AQ51" s="107">
        <v>0</v>
      </c>
      <c r="AR51" s="113">
        <v>0</v>
      </c>
      <c r="AS51" s="390">
        <f t="shared" si="95"/>
        <v>3751747</v>
      </c>
      <c r="AT51" s="175">
        <v>6970971</v>
      </c>
      <c r="AU51" s="107">
        <v>4388064</v>
      </c>
      <c r="AV51" s="107">
        <v>0</v>
      </c>
      <c r="AW51" s="107">
        <f t="shared" si="40"/>
        <v>11359035</v>
      </c>
      <c r="AX51" s="107">
        <v>0</v>
      </c>
      <c r="AY51" s="107">
        <v>0</v>
      </c>
      <c r="AZ51" s="107">
        <v>0</v>
      </c>
      <c r="BA51" s="107">
        <f t="shared" si="41"/>
        <v>0</v>
      </c>
      <c r="BB51" s="285">
        <f t="shared" si="13"/>
        <v>11359035</v>
      </c>
      <c r="BC51" s="285" t="str">
        <f t="shared" si="27"/>
        <v>MATCH</v>
      </c>
      <c r="BD51" s="113">
        <f>BA51+AW51</f>
        <v>11359035</v>
      </c>
      <c r="BE51" s="390">
        <v>122796579</v>
      </c>
      <c r="BF51" s="404">
        <v>104246976</v>
      </c>
      <c r="BG51" s="279">
        <f t="shared" si="30"/>
        <v>0.84894039271240607</v>
      </c>
      <c r="BH51" s="418">
        <f t="shared" si="89"/>
        <v>11.929062618656605</v>
      </c>
      <c r="BI51" s="419">
        <f t="shared" si="90"/>
        <v>0.74460934613540641</v>
      </c>
      <c r="BJ51" s="418">
        <f t="shared" ref="BJ51" si="151">BD51/BL51</f>
        <v>7.5800325248390612</v>
      </c>
      <c r="BK51" s="420">
        <f t="shared" ref="BK51" si="152">BD51/BN51</f>
        <v>0.47314388753214093</v>
      </c>
      <c r="BL51" s="209">
        <f>'GHG and Energy Use Dec'!Q50</f>
        <v>1498547</v>
      </c>
      <c r="BM51" s="209">
        <f>'GHG and Energy Use Dec'!R50</f>
        <v>0</v>
      </c>
      <c r="BN51" s="209">
        <f>'GHG and Energy Use Dec'!S50</f>
        <v>24007570</v>
      </c>
      <c r="BO51" s="421" t="s">
        <v>533</v>
      </c>
      <c r="BP51" s="422" t="s">
        <v>459</v>
      </c>
      <c r="BQ51" s="422" t="s">
        <v>460</v>
      </c>
      <c r="BR51" s="422" t="s">
        <v>479</v>
      </c>
      <c r="BS51" s="422" t="s">
        <v>480</v>
      </c>
      <c r="BT51" s="422" t="s">
        <v>509</v>
      </c>
      <c r="BU51" s="422" t="s">
        <v>464</v>
      </c>
      <c r="BV51" s="422" t="s">
        <v>465</v>
      </c>
      <c r="BW51" s="422" t="s">
        <v>467</v>
      </c>
      <c r="BX51" s="422" t="s">
        <v>466</v>
      </c>
      <c r="BY51" s="422" t="s">
        <v>522</v>
      </c>
      <c r="BZ51" s="422" t="s">
        <v>481</v>
      </c>
      <c r="CA51" s="422" t="s">
        <v>456</v>
      </c>
      <c r="CB51" s="423" t="s">
        <v>468</v>
      </c>
      <c r="CC51" s="424"/>
      <c r="CD51" s="424"/>
    </row>
    <row r="52" spans="1:82" ht="14.25" customHeight="1" x14ac:dyDescent="0.35">
      <c r="A52" s="326" t="s">
        <v>534</v>
      </c>
      <c r="B52" s="252">
        <v>0</v>
      </c>
      <c r="C52" s="253">
        <v>0</v>
      </c>
      <c r="D52" s="253">
        <v>0</v>
      </c>
      <c r="E52" s="253">
        <f>L52</f>
        <v>3866651.41</v>
      </c>
      <c r="F52" s="253"/>
      <c r="G52" s="253"/>
      <c r="H52" s="253"/>
      <c r="I52" s="253"/>
      <c r="J52" s="362">
        <f t="shared" si="19"/>
        <v>3866651.41</v>
      </c>
      <c r="K52" s="362" t="str">
        <f t="shared" si="20"/>
        <v>MATCH</v>
      </c>
      <c r="L52" s="362">
        <v>3866651.41</v>
      </c>
      <c r="M52" s="252"/>
      <c r="N52" s="363"/>
      <c r="O52" s="363"/>
      <c r="P52" s="363"/>
      <c r="Q52" s="363"/>
      <c r="R52" s="363"/>
      <c r="S52" s="363"/>
      <c r="T52" s="363"/>
      <c r="U52" s="362">
        <f t="shared" si="45"/>
        <v>0</v>
      </c>
      <c r="V52" s="362" t="str">
        <f t="shared" si="23"/>
        <v>MATCH</v>
      </c>
      <c r="W52" s="387">
        <v>0</v>
      </c>
      <c r="X52" s="387">
        <f t="shared" si="150"/>
        <v>3866651.41</v>
      </c>
      <c r="Y52" s="388">
        <v>0</v>
      </c>
      <c r="Z52" s="389">
        <v>48046927.920000002</v>
      </c>
      <c r="AA52" s="252"/>
      <c r="AB52" s="253"/>
      <c r="AC52" s="253"/>
      <c r="AD52" s="253"/>
      <c r="AE52" s="253"/>
      <c r="AF52" s="253"/>
      <c r="AG52" s="253"/>
      <c r="AH52" s="362">
        <f t="shared" si="11"/>
        <v>0</v>
      </c>
      <c r="AI52" s="362" t="str">
        <f t="shared" si="25"/>
        <v>MATCH</v>
      </c>
      <c r="AJ52" s="254">
        <v>0</v>
      </c>
      <c r="AK52" s="252"/>
      <c r="AL52" s="253"/>
      <c r="AM52" s="253"/>
      <c r="AN52" s="253"/>
      <c r="AO52" s="253"/>
      <c r="AP52" s="253"/>
      <c r="AQ52" s="253"/>
      <c r="AR52" s="254">
        <v>0</v>
      </c>
      <c r="AS52" s="390">
        <f t="shared" si="95"/>
        <v>0</v>
      </c>
      <c r="AT52" s="252">
        <v>2385554.2599999998</v>
      </c>
      <c r="AU52" s="253">
        <v>1481095.73</v>
      </c>
      <c r="AV52" s="253"/>
      <c r="AW52" s="253">
        <f t="shared" si="40"/>
        <v>3866649.9899999998</v>
      </c>
      <c r="AX52" s="253"/>
      <c r="AY52" s="253"/>
      <c r="AZ52" s="253"/>
      <c r="BA52" s="253">
        <f t="shared" si="41"/>
        <v>0</v>
      </c>
      <c r="BB52" s="362">
        <f t="shared" si="13"/>
        <v>3866649.9899999998</v>
      </c>
      <c r="BC52" s="362" t="str">
        <f t="shared" si="27"/>
        <v>MATCH</v>
      </c>
      <c r="BD52" s="254">
        <f t="shared" ref="BD52:BD58" si="153">BA52+AW52</f>
        <v>3866649.9899999998</v>
      </c>
      <c r="BE52" s="391">
        <v>33765087.130000003</v>
      </c>
      <c r="BF52" s="389">
        <v>29898438.52</v>
      </c>
      <c r="BG52" s="281">
        <f t="shared" ref="BG52" si="154">BF52/BE52</f>
        <v>0.88548382549368521</v>
      </c>
      <c r="BH52" s="167">
        <f t="shared" si="89"/>
        <v>4.6581286245378148</v>
      </c>
      <c r="BI52" s="255">
        <f t="shared" si="90"/>
        <v>0.1392854837651849</v>
      </c>
      <c r="BJ52" s="167">
        <f t="shared" ref="BJ52" si="155">BD52/BL52</f>
        <v>4.6581269138734838</v>
      </c>
      <c r="BK52" s="280">
        <f t="shared" ref="BK52" si="156">BD52/BN52</f>
        <v>0.13928543261358989</v>
      </c>
      <c r="BL52" s="209">
        <f>'GHG and Energy Use Dec'!Q52</f>
        <v>830086.87</v>
      </c>
      <c r="BM52" s="209">
        <f>'GHG and Energy Use Dec'!R52</f>
        <v>0</v>
      </c>
      <c r="BN52" s="209">
        <f>'GHG and Energy Use Dec'!S52</f>
        <v>27760620.170000002</v>
      </c>
      <c r="BO52" s="112" t="s">
        <v>533</v>
      </c>
      <c r="BP52" s="102" t="s">
        <v>459</v>
      </c>
      <c r="BQ52" s="102" t="s">
        <v>460</v>
      </c>
      <c r="BR52" s="102" t="s">
        <v>479</v>
      </c>
      <c r="BS52" s="102" t="s">
        <v>511</v>
      </c>
      <c r="BT52" s="102" t="s">
        <v>509</v>
      </c>
      <c r="BU52" s="102" t="s">
        <v>464</v>
      </c>
      <c r="BV52" s="102" t="s">
        <v>463</v>
      </c>
      <c r="BW52" s="102" t="s">
        <v>466</v>
      </c>
      <c r="BX52" s="102" t="s">
        <v>467</v>
      </c>
      <c r="BY52" s="102" t="s">
        <v>522</v>
      </c>
      <c r="BZ52" s="102" t="s">
        <v>481</v>
      </c>
      <c r="CA52" s="102" t="s">
        <v>456</v>
      </c>
      <c r="CB52" s="286" t="s">
        <v>468</v>
      </c>
    </row>
    <row r="53" spans="1:82" ht="14.25" customHeight="1" x14ac:dyDescent="0.35">
      <c r="A53" s="326" t="s">
        <v>535</v>
      </c>
      <c r="B53" s="252">
        <f>L53*0.2</f>
        <v>11160.6</v>
      </c>
      <c r="C53" s="253">
        <v>0</v>
      </c>
      <c r="D53" s="253">
        <v>0</v>
      </c>
      <c r="E53" s="253">
        <f>L53-B53</f>
        <v>44642.400000000001</v>
      </c>
      <c r="F53" s="253">
        <v>0</v>
      </c>
      <c r="G53" s="253">
        <v>0</v>
      </c>
      <c r="H53" s="253">
        <v>0</v>
      </c>
      <c r="I53" s="253">
        <v>0</v>
      </c>
      <c r="J53" s="362">
        <f t="shared" si="19"/>
        <v>55803</v>
      </c>
      <c r="K53" s="362" t="str">
        <f t="shared" si="20"/>
        <v>MATCH</v>
      </c>
      <c r="L53" s="362">
        <v>55803</v>
      </c>
      <c r="M53" s="252">
        <v>0</v>
      </c>
      <c r="N53" s="363">
        <f>W53</f>
        <v>36284</v>
      </c>
      <c r="O53" s="363">
        <v>0</v>
      </c>
      <c r="P53" s="363">
        <v>0</v>
      </c>
      <c r="Q53" s="363">
        <v>0</v>
      </c>
      <c r="R53" s="363">
        <v>0</v>
      </c>
      <c r="S53" s="363">
        <v>0</v>
      </c>
      <c r="T53" s="363">
        <v>0</v>
      </c>
      <c r="U53" s="362">
        <f t="shared" si="45"/>
        <v>36284</v>
      </c>
      <c r="V53" s="362" t="str">
        <f t="shared" si="23"/>
        <v>MATCH</v>
      </c>
      <c r="W53" s="387">
        <v>36284</v>
      </c>
      <c r="X53" s="387">
        <f t="shared" si="150"/>
        <v>92087</v>
      </c>
      <c r="Y53" s="388">
        <v>-11150169</v>
      </c>
      <c r="Z53" s="389">
        <v>0</v>
      </c>
      <c r="AA53" s="252">
        <v>0</v>
      </c>
      <c r="AB53" s="253">
        <v>0</v>
      </c>
      <c r="AC53" s="253">
        <v>0</v>
      </c>
      <c r="AD53" s="253">
        <v>0</v>
      </c>
      <c r="AE53" s="253">
        <v>0</v>
      </c>
      <c r="AF53" s="253">
        <v>0</v>
      </c>
      <c r="AG53" s="253">
        <v>0</v>
      </c>
      <c r="AH53" s="362">
        <f t="shared" si="11"/>
        <v>0</v>
      </c>
      <c r="AI53" s="362" t="str">
        <f t="shared" si="25"/>
        <v>MATCH</v>
      </c>
      <c r="AJ53" s="254">
        <v>0</v>
      </c>
      <c r="AK53" s="252">
        <v>0</v>
      </c>
      <c r="AL53" s="253">
        <v>0</v>
      </c>
      <c r="AM53" s="253">
        <v>0</v>
      </c>
      <c r="AN53" s="253">
        <v>0</v>
      </c>
      <c r="AO53" s="253">
        <v>0</v>
      </c>
      <c r="AP53" s="253">
        <v>0</v>
      </c>
      <c r="AQ53" s="253">
        <v>0</v>
      </c>
      <c r="AR53" s="254">
        <v>0</v>
      </c>
      <c r="AS53" s="390">
        <f t="shared" si="95"/>
        <v>0</v>
      </c>
      <c r="AT53" s="252">
        <v>0</v>
      </c>
      <c r="AU53" s="253">
        <v>0</v>
      </c>
      <c r="AV53" s="253">
        <v>1825</v>
      </c>
      <c r="AW53" s="253">
        <f t="shared" si="40"/>
        <v>1825</v>
      </c>
      <c r="AX53" s="253">
        <v>1929</v>
      </c>
      <c r="AY53" s="253">
        <v>11238662</v>
      </c>
      <c r="AZ53" s="253">
        <v>0</v>
      </c>
      <c r="BA53" s="253">
        <f t="shared" si="41"/>
        <v>11240591</v>
      </c>
      <c r="BB53" s="362">
        <f t="shared" si="13"/>
        <v>11242416</v>
      </c>
      <c r="BC53" s="362" t="str">
        <f t="shared" si="27"/>
        <v>MATCH</v>
      </c>
      <c r="BD53" s="254">
        <f t="shared" si="153"/>
        <v>11242416</v>
      </c>
      <c r="BE53" s="391">
        <v>1699362</v>
      </c>
      <c r="BF53" s="389">
        <v>1674287</v>
      </c>
      <c r="BG53" s="281">
        <f t="shared" ref="BG53" si="157">BF53/BE53</f>
        <v>0.98524446233351104</v>
      </c>
      <c r="BH53" s="167">
        <f t="shared" si="89"/>
        <v>14.661200445788888</v>
      </c>
      <c r="BI53" s="255" t="s">
        <v>505</v>
      </c>
      <c r="BJ53" s="167">
        <f t="shared" ref="BJ53" si="158">BD53/BL53</f>
        <v>1789.9086132781404</v>
      </c>
      <c r="BK53" s="255" t="s">
        <v>505</v>
      </c>
      <c r="BL53" s="209">
        <f>'GHG and Energy Use Dec'!Q53</f>
        <v>6281</v>
      </c>
      <c r="BM53" s="209">
        <f>'GHG and Energy Use Dec'!R53</f>
        <v>0</v>
      </c>
      <c r="BN53" s="209">
        <f>'GHG and Energy Use Dec'!S53</f>
        <v>0</v>
      </c>
      <c r="BO53" s="112" t="s">
        <v>536</v>
      </c>
      <c r="BP53" s="102" t="s">
        <v>459</v>
      </c>
      <c r="BQ53" s="102" t="s">
        <v>499</v>
      </c>
      <c r="BR53" s="102" t="s">
        <v>474</v>
      </c>
      <c r="BS53" s="102"/>
      <c r="BT53" s="102" t="s">
        <v>509</v>
      </c>
      <c r="BU53" s="102" t="s">
        <v>464</v>
      </c>
      <c r="BV53" s="102" t="s">
        <v>463</v>
      </c>
      <c r="BW53" s="102" t="s">
        <v>467</v>
      </c>
      <c r="BX53" s="102" t="s">
        <v>466</v>
      </c>
      <c r="BY53" s="102" t="s">
        <v>522</v>
      </c>
      <c r="BZ53" s="102" t="s">
        <v>481</v>
      </c>
      <c r="CA53" s="102" t="s">
        <v>456</v>
      </c>
      <c r="CB53" s="286" t="s">
        <v>468</v>
      </c>
    </row>
    <row r="54" spans="1:82" ht="14.25" customHeight="1" x14ac:dyDescent="0.35">
      <c r="A54" s="326" t="s">
        <v>537</v>
      </c>
      <c r="B54" s="252">
        <v>0</v>
      </c>
      <c r="C54" s="253">
        <v>0</v>
      </c>
      <c r="D54" s="253">
        <v>0</v>
      </c>
      <c r="E54" s="253">
        <f>L54</f>
        <v>537667</v>
      </c>
      <c r="F54" s="253">
        <v>0</v>
      </c>
      <c r="G54" s="253">
        <v>0</v>
      </c>
      <c r="H54" s="253">
        <v>0</v>
      </c>
      <c r="I54" s="253">
        <v>0</v>
      </c>
      <c r="J54" s="362">
        <f t="shared" si="19"/>
        <v>537667</v>
      </c>
      <c r="K54" s="362" t="str">
        <f t="shared" si="20"/>
        <v>MATCH</v>
      </c>
      <c r="L54" s="362">
        <v>537667</v>
      </c>
      <c r="M54" s="252">
        <v>0</v>
      </c>
      <c r="N54" s="363">
        <v>0</v>
      </c>
      <c r="O54" s="363">
        <v>0</v>
      </c>
      <c r="P54" s="363">
        <v>0</v>
      </c>
      <c r="Q54" s="363">
        <v>0</v>
      </c>
      <c r="R54" s="363">
        <v>0</v>
      </c>
      <c r="S54" s="363">
        <v>0</v>
      </c>
      <c r="T54" s="363">
        <v>0</v>
      </c>
      <c r="U54" s="362">
        <f t="shared" si="45"/>
        <v>0</v>
      </c>
      <c r="V54" s="362" t="str">
        <f t="shared" si="23"/>
        <v>MATCH</v>
      </c>
      <c r="W54" s="387">
        <v>0</v>
      </c>
      <c r="X54" s="387">
        <f t="shared" si="150"/>
        <v>537667</v>
      </c>
      <c r="Y54" s="388">
        <v>0</v>
      </c>
      <c r="Z54" s="389">
        <v>0</v>
      </c>
      <c r="AA54" s="252">
        <v>0</v>
      </c>
      <c r="AB54" s="253">
        <v>0</v>
      </c>
      <c r="AC54" s="253">
        <v>0</v>
      </c>
      <c r="AD54" s="253">
        <v>0</v>
      </c>
      <c r="AE54" s="253">
        <v>0</v>
      </c>
      <c r="AF54" s="253">
        <v>0</v>
      </c>
      <c r="AG54" s="253">
        <v>0</v>
      </c>
      <c r="AH54" s="362">
        <f t="shared" si="11"/>
        <v>0</v>
      </c>
      <c r="AI54" s="362" t="str">
        <f t="shared" si="25"/>
        <v>MATCH</v>
      </c>
      <c r="AJ54" s="254">
        <v>0</v>
      </c>
      <c r="AK54" s="252">
        <v>0</v>
      </c>
      <c r="AL54" s="253">
        <v>0</v>
      </c>
      <c r="AM54" s="253">
        <v>0</v>
      </c>
      <c r="AN54" s="253">
        <v>0</v>
      </c>
      <c r="AO54" s="253">
        <v>0</v>
      </c>
      <c r="AP54" s="253">
        <v>0</v>
      </c>
      <c r="AQ54" s="253">
        <v>0</v>
      </c>
      <c r="AR54" s="254">
        <v>0</v>
      </c>
      <c r="AS54" s="390">
        <f t="shared" si="95"/>
        <v>0</v>
      </c>
      <c r="AT54" s="252">
        <v>599580.51</v>
      </c>
      <c r="AU54" s="253">
        <v>-61913.42</v>
      </c>
      <c r="AV54" s="253">
        <v>0</v>
      </c>
      <c r="AW54" s="253">
        <f t="shared" si="40"/>
        <v>537667.09</v>
      </c>
      <c r="AX54" s="253">
        <v>0</v>
      </c>
      <c r="AY54" s="253">
        <v>0</v>
      </c>
      <c r="AZ54" s="253">
        <v>0</v>
      </c>
      <c r="BA54" s="253">
        <f t="shared" si="41"/>
        <v>0</v>
      </c>
      <c r="BB54" s="362">
        <f t="shared" si="13"/>
        <v>537667.09</v>
      </c>
      <c r="BC54" s="362" t="str">
        <f t="shared" si="27"/>
        <v>MATCH</v>
      </c>
      <c r="BD54" s="254">
        <f t="shared" si="153"/>
        <v>537667.09</v>
      </c>
      <c r="BE54" s="391">
        <v>11424972.220000001</v>
      </c>
      <c r="BF54" s="389">
        <v>9861782.7300000004</v>
      </c>
      <c r="BG54" s="281">
        <f t="shared" ref="BG54" si="159">BF54/BE54</f>
        <v>0.86317783011642191</v>
      </c>
      <c r="BH54" s="167">
        <f t="shared" si="89"/>
        <v>2.0606110544752152</v>
      </c>
      <c r="BI54" s="255">
        <f t="shared" si="90"/>
        <v>0.11782281971673454</v>
      </c>
      <c r="BJ54" s="167">
        <f t="shared" ref="BJ54" si="160">BD54/BL54</f>
        <v>2.0606113994005963</v>
      </c>
      <c r="BK54" s="280">
        <f t="shared" ref="BK54" si="161">BD54/BN54</f>
        <v>0.11782283943907898</v>
      </c>
      <c r="BL54" s="209">
        <f>'GHG and Energy Use Dec'!Q54</f>
        <v>260926</v>
      </c>
      <c r="BM54" s="209">
        <f>'GHG and Energy Use Dec'!R54</f>
        <v>0</v>
      </c>
      <c r="BN54" s="209">
        <f>'GHG and Energy Use Dec'!S54</f>
        <v>4563352</v>
      </c>
      <c r="BO54" s="112" t="s">
        <v>536</v>
      </c>
      <c r="BP54" s="102" t="s">
        <v>459</v>
      </c>
      <c r="BQ54" s="102" t="s">
        <v>499</v>
      </c>
      <c r="BR54" s="102" t="s">
        <v>474</v>
      </c>
      <c r="BS54" s="102"/>
      <c r="BT54" s="102" t="s">
        <v>509</v>
      </c>
      <c r="BU54" s="102" t="s">
        <v>464</v>
      </c>
      <c r="BV54" s="102" t="s">
        <v>463</v>
      </c>
      <c r="BW54" s="102" t="s">
        <v>467</v>
      </c>
      <c r="BX54" s="102" t="s">
        <v>466</v>
      </c>
      <c r="BY54" s="102" t="s">
        <v>522</v>
      </c>
      <c r="BZ54" s="102" t="s">
        <v>481</v>
      </c>
      <c r="CA54" s="102" t="s">
        <v>456</v>
      </c>
      <c r="CB54" s="286" t="s">
        <v>468</v>
      </c>
    </row>
    <row r="55" spans="1:82" ht="14.25" customHeight="1" x14ac:dyDescent="0.35">
      <c r="A55" s="326" t="s">
        <v>538</v>
      </c>
      <c r="B55" s="252">
        <f>L55-E55</f>
        <v>188893</v>
      </c>
      <c r="C55" s="253">
        <v>0</v>
      </c>
      <c r="D55" s="253">
        <v>0</v>
      </c>
      <c r="E55" s="253">
        <f>210899+247271+267702+453716+374270+464547+532330+414193+410573+374627+261064+290225</f>
        <v>4301417</v>
      </c>
      <c r="F55" s="253">
        <v>0</v>
      </c>
      <c r="G55" s="253">
        <v>0</v>
      </c>
      <c r="H55" s="253">
        <v>0</v>
      </c>
      <c r="I55" s="253">
        <v>0</v>
      </c>
      <c r="J55" s="362">
        <f t="shared" si="19"/>
        <v>4490310</v>
      </c>
      <c r="K55" s="362" t="str">
        <f t="shared" si="20"/>
        <v>MATCH</v>
      </c>
      <c r="L55" s="362">
        <v>4490310</v>
      </c>
      <c r="M55" s="252"/>
      <c r="N55" s="363"/>
      <c r="O55" s="363">
        <f>W55</f>
        <v>1982937</v>
      </c>
      <c r="P55" s="363">
        <v>0</v>
      </c>
      <c r="Q55" s="363">
        <v>0</v>
      </c>
      <c r="R55" s="363">
        <v>0</v>
      </c>
      <c r="S55" s="363">
        <v>0</v>
      </c>
      <c r="T55" s="363">
        <v>0</v>
      </c>
      <c r="U55" s="362">
        <f t="shared" si="45"/>
        <v>1982937</v>
      </c>
      <c r="V55" s="362" t="str">
        <f t="shared" si="23"/>
        <v>MATCH</v>
      </c>
      <c r="W55" s="387">
        <v>1982937</v>
      </c>
      <c r="X55" s="387">
        <f t="shared" si="150"/>
        <v>6473247</v>
      </c>
      <c r="Y55" s="388">
        <v>-1434027</v>
      </c>
      <c r="Z55" s="389">
        <v>0</v>
      </c>
      <c r="AA55" s="252">
        <v>0</v>
      </c>
      <c r="AB55" s="253">
        <v>0</v>
      </c>
      <c r="AC55" s="253">
        <v>0</v>
      </c>
      <c r="AD55" s="253">
        <v>0</v>
      </c>
      <c r="AE55" s="253">
        <v>0</v>
      </c>
      <c r="AF55" s="253">
        <v>0</v>
      </c>
      <c r="AG55" s="253">
        <v>0</v>
      </c>
      <c r="AH55" s="362">
        <f t="shared" si="11"/>
        <v>0</v>
      </c>
      <c r="AI55" s="362" t="str">
        <f t="shared" si="25"/>
        <v>MATCH</v>
      </c>
      <c r="AJ55" s="254">
        <v>0</v>
      </c>
      <c r="AK55" s="252"/>
      <c r="AL55" s="253">
        <v>0</v>
      </c>
      <c r="AM55" s="253">
        <v>0</v>
      </c>
      <c r="AN55" s="253">
        <v>0</v>
      </c>
      <c r="AO55" s="253">
        <v>0</v>
      </c>
      <c r="AP55" s="253">
        <v>0</v>
      </c>
      <c r="AQ55" s="253"/>
      <c r="AR55" s="254">
        <v>0</v>
      </c>
      <c r="AS55" s="390">
        <f t="shared" si="95"/>
        <v>0</v>
      </c>
      <c r="AT55" s="252">
        <v>0</v>
      </c>
      <c r="AU55" s="253">
        <v>0</v>
      </c>
      <c r="AV55" s="253">
        <v>594913</v>
      </c>
      <c r="AW55" s="253">
        <f t="shared" si="40"/>
        <v>594913</v>
      </c>
      <c r="AX55" s="253">
        <v>2202432.4</v>
      </c>
      <c r="AY55" s="253">
        <v>5109930</v>
      </c>
      <c r="AZ55" s="253">
        <v>0</v>
      </c>
      <c r="BA55" s="253">
        <f t="shared" si="41"/>
        <v>7312362.4000000004</v>
      </c>
      <c r="BB55" s="362">
        <f t="shared" si="13"/>
        <v>7907275.4000000004</v>
      </c>
      <c r="BC55" s="362" t="str">
        <f t="shared" si="27"/>
        <v>MATCH</v>
      </c>
      <c r="BD55" s="254">
        <f t="shared" si="153"/>
        <v>7907275.4000000004</v>
      </c>
      <c r="BE55" s="391">
        <v>50064693</v>
      </c>
      <c r="BF55" s="389">
        <v>45336310</v>
      </c>
      <c r="BG55" s="281">
        <f t="shared" ref="BG55" si="162">BF55/BE55</f>
        <v>0.90555453920390561</v>
      </c>
      <c r="BH55" s="167">
        <f t="shared" si="89"/>
        <v>37.405504576553255</v>
      </c>
      <c r="BI55" s="255">
        <f t="shared" si="90"/>
        <v>0.3974330068774462</v>
      </c>
      <c r="BJ55" s="167">
        <f t="shared" ref="BJ55" si="163">BD55/BL55</f>
        <v>45.692003744452663</v>
      </c>
      <c r="BK55" s="280">
        <f t="shared" ref="BK55" si="164">BD55/BN55</f>
        <v>0.48547695436773253</v>
      </c>
      <c r="BL55" s="209">
        <f>'GHG and Energy Use Dec'!Q55</f>
        <v>173056</v>
      </c>
      <c r="BM55" s="209">
        <f>'GHG and Energy Use Dec'!R55</f>
        <v>37888350.950000003</v>
      </c>
      <c r="BN55" s="209">
        <f>'GHG and Energy Use Dec'!S55</f>
        <v>16287643.17</v>
      </c>
      <c r="BO55" s="112" t="s">
        <v>539</v>
      </c>
      <c r="BP55" s="102" t="s">
        <v>459</v>
      </c>
      <c r="BQ55" s="102" t="s">
        <v>460</v>
      </c>
      <c r="BR55" s="102" t="s">
        <v>479</v>
      </c>
      <c r="BS55" s="102" t="s">
        <v>480</v>
      </c>
      <c r="BT55" s="102" t="s">
        <v>509</v>
      </c>
      <c r="BU55" s="102" t="s">
        <v>464</v>
      </c>
      <c r="BV55" s="102" t="s">
        <v>463</v>
      </c>
      <c r="BW55" s="102" t="s">
        <v>467</v>
      </c>
      <c r="BX55" s="102" t="s">
        <v>466</v>
      </c>
      <c r="BY55" s="102" t="s">
        <v>522</v>
      </c>
      <c r="BZ55" s="102" t="s">
        <v>481</v>
      </c>
      <c r="CA55" s="102" t="s">
        <v>456</v>
      </c>
      <c r="CB55" s="286" t="s">
        <v>468</v>
      </c>
    </row>
    <row r="56" spans="1:82" ht="14.25" customHeight="1" x14ac:dyDescent="0.35">
      <c r="A56" s="326" t="s">
        <v>540</v>
      </c>
      <c r="B56" s="252">
        <v>0</v>
      </c>
      <c r="C56" s="253">
        <v>0</v>
      </c>
      <c r="D56" s="253">
        <v>0</v>
      </c>
      <c r="E56" s="253">
        <f>L56-F56</f>
        <v>8396368</v>
      </c>
      <c r="F56" s="253">
        <f>9229+6056+6056+7612+844+7256+11321+8600+8600+8618+3833+4648</f>
        <v>82673</v>
      </c>
      <c r="G56" s="253">
        <v>0</v>
      </c>
      <c r="H56" s="253">
        <v>0</v>
      </c>
      <c r="I56" s="253">
        <v>0</v>
      </c>
      <c r="J56" s="362">
        <f t="shared" si="19"/>
        <v>8479041</v>
      </c>
      <c r="K56" s="362" t="str">
        <f t="shared" si="20"/>
        <v>MATCH</v>
      </c>
      <c r="L56" s="362">
        <v>8479041</v>
      </c>
      <c r="M56" s="252">
        <v>0</v>
      </c>
      <c r="N56" s="363">
        <v>0</v>
      </c>
      <c r="O56" s="363">
        <f>W56</f>
        <v>544854</v>
      </c>
      <c r="P56" s="363"/>
      <c r="Q56" s="363">
        <v>0</v>
      </c>
      <c r="R56" s="363">
        <v>0</v>
      </c>
      <c r="S56" s="363">
        <v>0</v>
      </c>
      <c r="T56" s="363">
        <v>0</v>
      </c>
      <c r="U56" s="362">
        <f t="shared" si="45"/>
        <v>544854</v>
      </c>
      <c r="V56" s="362" t="str">
        <f t="shared" si="23"/>
        <v>MATCH</v>
      </c>
      <c r="W56" s="387">
        <v>544854</v>
      </c>
      <c r="X56" s="387">
        <f t="shared" si="150"/>
        <v>9023895</v>
      </c>
      <c r="Y56" s="388">
        <v>1929373</v>
      </c>
      <c r="Z56" s="389">
        <v>7132064</v>
      </c>
      <c r="AA56" s="252">
        <v>0</v>
      </c>
      <c r="AB56" s="253">
        <v>0</v>
      </c>
      <c r="AC56" s="253">
        <v>0</v>
      </c>
      <c r="AD56" s="253">
        <v>0</v>
      </c>
      <c r="AE56" s="253">
        <v>0</v>
      </c>
      <c r="AF56" s="253">
        <v>0</v>
      </c>
      <c r="AG56" s="253"/>
      <c r="AH56" s="362">
        <f t="shared" si="11"/>
        <v>0</v>
      </c>
      <c r="AI56" s="362" t="str">
        <f t="shared" si="25"/>
        <v>MATCH</v>
      </c>
      <c r="AJ56" s="254">
        <v>0</v>
      </c>
      <c r="AK56" s="252">
        <v>0</v>
      </c>
      <c r="AL56" s="253">
        <v>0</v>
      </c>
      <c r="AM56" s="253">
        <v>0</v>
      </c>
      <c r="AN56" s="253">
        <v>0</v>
      </c>
      <c r="AO56" s="253">
        <v>0</v>
      </c>
      <c r="AP56" s="253">
        <v>0</v>
      </c>
      <c r="AQ56" s="253">
        <v>0</v>
      </c>
      <c r="AR56" s="254">
        <v>0</v>
      </c>
      <c r="AS56" s="390">
        <f t="shared" si="95"/>
        <v>0</v>
      </c>
      <c r="AT56" s="252">
        <v>0</v>
      </c>
      <c r="AU56" s="253">
        <v>0</v>
      </c>
      <c r="AV56" s="253">
        <v>0</v>
      </c>
      <c r="AW56" s="253">
        <f t="shared" si="40"/>
        <v>0</v>
      </c>
      <c r="AX56" s="253">
        <v>4647960.32</v>
      </c>
      <c r="AY56" s="253">
        <v>1838724</v>
      </c>
      <c r="AZ56" s="253">
        <v>948664</v>
      </c>
      <c r="BA56" s="253">
        <f t="shared" si="41"/>
        <v>7435348.3200000003</v>
      </c>
      <c r="BB56" s="362">
        <f t="shared" si="13"/>
        <v>7435348.3200000003</v>
      </c>
      <c r="BC56" s="362" t="str">
        <f t="shared" si="27"/>
        <v>MATCH</v>
      </c>
      <c r="BD56" s="254">
        <f t="shared" si="153"/>
        <v>7435348.3200000003</v>
      </c>
      <c r="BE56" s="391">
        <v>59280368</v>
      </c>
      <c r="BF56" s="389">
        <v>49893444</v>
      </c>
      <c r="BG56" s="281">
        <f t="shared" ref="BG56" si="165">BF56/BE56</f>
        <v>0.84165206261877457</v>
      </c>
      <c r="BH56" s="167">
        <f t="shared" si="89"/>
        <v>16.614804637064758</v>
      </c>
      <c r="BI56" s="255" t="s">
        <v>505</v>
      </c>
      <c r="BJ56" s="167">
        <f t="shared" ref="BJ56" si="166">BD56/BL56</f>
        <v>13.689970876802938</v>
      </c>
      <c r="BK56" s="255" t="s">
        <v>505</v>
      </c>
      <c r="BL56" s="209">
        <f>'GHG and Energy Use Dec'!Q57</f>
        <v>543123.75</v>
      </c>
      <c r="BM56" s="209">
        <f>'GHG and Energy Use Dec'!R57</f>
        <v>0</v>
      </c>
      <c r="BN56" s="209">
        <f>'GHG and Energy Use Dec'!S57</f>
        <v>6168240.6699999999</v>
      </c>
      <c r="BO56" s="112" t="s">
        <v>533</v>
      </c>
      <c r="BP56" s="102" t="s">
        <v>459</v>
      </c>
      <c r="BQ56" s="102" t="s">
        <v>460</v>
      </c>
      <c r="BR56" s="102" t="s">
        <v>479</v>
      </c>
      <c r="BS56" s="102" t="s">
        <v>480</v>
      </c>
      <c r="BT56" s="102" t="s">
        <v>509</v>
      </c>
      <c r="BU56" s="102" t="s">
        <v>464</v>
      </c>
      <c r="BV56" s="102" t="s">
        <v>463</v>
      </c>
      <c r="BW56" s="102" t="s">
        <v>467</v>
      </c>
      <c r="BX56" s="102" t="s">
        <v>466</v>
      </c>
      <c r="BY56" s="102" t="s">
        <v>522</v>
      </c>
      <c r="BZ56" s="102" t="s">
        <v>481</v>
      </c>
      <c r="CA56" s="102" t="s">
        <v>456</v>
      </c>
      <c r="CB56" s="286" t="s">
        <v>468</v>
      </c>
    </row>
    <row r="57" spans="1:82" ht="14.25" customHeight="1" x14ac:dyDescent="0.35">
      <c r="A57" s="326" t="s">
        <v>541</v>
      </c>
      <c r="B57" s="252"/>
      <c r="C57" s="253"/>
      <c r="D57" s="253"/>
      <c r="E57" s="253"/>
      <c r="F57" s="253"/>
      <c r="G57" s="253"/>
      <c r="H57" s="253"/>
      <c r="I57" s="253"/>
      <c r="J57" s="362">
        <f t="shared" si="19"/>
        <v>0</v>
      </c>
      <c r="K57" s="362" t="str">
        <f t="shared" si="20"/>
        <v>MATCH</v>
      </c>
      <c r="L57" s="362">
        <v>0</v>
      </c>
      <c r="M57" s="252"/>
      <c r="N57" s="363"/>
      <c r="O57" s="363"/>
      <c r="P57" s="363"/>
      <c r="Q57" s="363"/>
      <c r="R57" s="363"/>
      <c r="S57" s="363"/>
      <c r="T57" s="363"/>
      <c r="U57" s="362">
        <f t="shared" si="45"/>
        <v>0</v>
      </c>
      <c r="V57" s="362" t="str">
        <f t="shared" si="23"/>
        <v>MATCH</v>
      </c>
      <c r="W57" s="387">
        <v>0</v>
      </c>
      <c r="X57" s="387">
        <f t="shared" si="150"/>
        <v>0</v>
      </c>
      <c r="Y57" s="388">
        <v>0</v>
      </c>
      <c r="Z57" s="389">
        <v>0</v>
      </c>
      <c r="AA57" s="252"/>
      <c r="AB57" s="253"/>
      <c r="AC57" s="253"/>
      <c r="AD57" s="253"/>
      <c r="AE57" s="253"/>
      <c r="AF57" s="253"/>
      <c r="AG57" s="253">
        <v>0</v>
      </c>
      <c r="AH57" s="362">
        <f t="shared" si="11"/>
        <v>0</v>
      </c>
      <c r="AI57" s="362" t="str">
        <f t="shared" si="25"/>
        <v>MATCH</v>
      </c>
      <c r="AJ57" s="254">
        <v>0</v>
      </c>
      <c r="AK57" s="252"/>
      <c r="AL57" s="253"/>
      <c r="AM57" s="253"/>
      <c r="AN57" s="253"/>
      <c r="AO57" s="253"/>
      <c r="AP57" s="253"/>
      <c r="AQ57" s="253">
        <v>0</v>
      </c>
      <c r="AR57" s="254">
        <v>0</v>
      </c>
      <c r="AS57" s="390">
        <f t="shared" si="95"/>
        <v>0</v>
      </c>
      <c r="AT57" s="252"/>
      <c r="AU57" s="253"/>
      <c r="AV57" s="253"/>
      <c r="AW57" s="253"/>
      <c r="AX57" s="253"/>
      <c r="AY57" s="253"/>
      <c r="AZ57" s="253"/>
      <c r="BA57" s="253"/>
      <c r="BB57" s="362">
        <f t="shared" si="13"/>
        <v>0</v>
      </c>
      <c r="BC57" s="362" t="str">
        <f t="shared" si="27"/>
        <v>MATCH</v>
      </c>
      <c r="BD57" s="254">
        <f t="shared" si="153"/>
        <v>0</v>
      </c>
      <c r="BE57" s="391">
        <v>0</v>
      </c>
      <c r="BF57" s="389">
        <v>0</v>
      </c>
      <c r="BG57" s="255" t="s">
        <v>505</v>
      </c>
      <c r="BH57" s="255" t="s">
        <v>505</v>
      </c>
      <c r="BI57" s="255" t="s">
        <v>505</v>
      </c>
      <c r="BJ57" s="255" t="s">
        <v>505</v>
      </c>
      <c r="BK57" s="255" t="s">
        <v>505</v>
      </c>
      <c r="BL57" s="209">
        <v>0</v>
      </c>
      <c r="BM57" s="207">
        <v>0</v>
      </c>
      <c r="BN57" s="208">
        <v>0</v>
      </c>
      <c r="BO57" s="112"/>
      <c r="BP57" s="102"/>
      <c r="BQ57" s="102"/>
      <c r="BR57" s="102"/>
      <c r="BS57" s="102"/>
      <c r="BT57" s="102"/>
      <c r="BU57" s="102"/>
      <c r="BV57" s="102"/>
      <c r="BW57" s="102"/>
      <c r="BX57" s="102"/>
      <c r="BY57" s="102"/>
      <c r="BZ57" s="102"/>
      <c r="CA57" s="102"/>
      <c r="CB57" s="286"/>
    </row>
    <row r="58" spans="1:82" ht="14.25" customHeight="1" thickBot="1" x14ac:dyDescent="0.4">
      <c r="A58" s="327" t="s">
        <v>542</v>
      </c>
      <c r="B58" s="364"/>
      <c r="C58" s="365"/>
      <c r="D58" s="365"/>
      <c r="E58" s="365"/>
      <c r="F58" s="365"/>
      <c r="G58" s="365"/>
      <c r="H58" s="365"/>
      <c r="I58" s="365"/>
      <c r="J58" s="366">
        <f t="shared" si="19"/>
        <v>0</v>
      </c>
      <c r="K58" s="366" t="str">
        <f t="shared" si="20"/>
        <v>MATCH</v>
      </c>
      <c r="L58" s="366">
        <v>0</v>
      </c>
      <c r="M58" s="364"/>
      <c r="N58" s="367"/>
      <c r="O58" s="367"/>
      <c r="P58" s="367"/>
      <c r="Q58" s="367"/>
      <c r="R58" s="367"/>
      <c r="S58" s="367"/>
      <c r="T58" s="367"/>
      <c r="U58" s="366">
        <f t="shared" si="45"/>
        <v>0</v>
      </c>
      <c r="V58" s="366" t="str">
        <f t="shared" si="23"/>
        <v>MATCH</v>
      </c>
      <c r="W58" s="392">
        <v>0</v>
      </c>
      <c r="X58" s="392">
        <f t="shared" si="150"/>
        <v>0</v>
      </c>
      <c r="Y58" s="393">
        <v>0</v>
      </c>
      <c r="Z58" s="394">
        <v>0</v>
      </c>
      <c r="AA58" s="364"/>
      <c r="AB58" s="365"/>
      <c r="AC58" s="365"/>
      <c r="AD58" s="365"/>
      <c r="AE58" s="365"/>
      <c r="AF58" s="365"/>
      <c r="AG58" s="365">
        <v>0</v>
      </c>
      <c r="AH58" s="366">
        <f t="shared" si="11"/>
        <v>0</v>
      </c>
      <c r="AI58" s="366" t="str">
        <f t="shared" si="25"/>
        <v>MATCH</v>
      </c>
      <c r="AJ58" s="395">
        <v>0</v>
      </c>
      <c r="AK58" s="364"/>
      <c r="AL58" s="365"/>
      <c r="AM58" s="365"/>
      <c r="AN58" s="365"/>
      <c r="AO58" s="365"/>
      <c r="AP58" s="365"/>
      <c r="AQ58" s="365">
        <v>0</v>
      </c>
      <c r="AR58" s="395">
        <v>0</v>
      </c>
      <c r="AS58" s="396">
        <f t="shared" si="95"/>
        <v>0</v>
      </c>
      <c r="AT58" s="364"/>
      <c r="AU58" s="365"/>
      <c r="AV58" s="365"/>
      <c r="AW58" s="365"/>
      <c r="AX58" s="365"/>
      <c r="AY58" s="365"/>
      <c r="AZ58" s="365"/>
      <c r="BA58" s="365"/>
      <c r="BB58" s="366">
        <f t="shared" si="13"/>
        <v>0</v>
      </c>
      <c r="BC58" s="366" t="str">
        <f t="shared" si="27"/>
        <v>MATCH</v>
      </c>
      <c r="BD58" s="254">
        <f t="shared" si="153"/>
        <v>0</v>
      </c>
      <c r="BE58" s="397">
        <v>0</v>
      </c>
      <c r="BF58" s="394">
        <v>0</v>
      </c>
      <c r="BG58" s="255" t="s">
        <v>505</v>
      </c>
      <c r="BH58" s="255" t="s">
        <v>505</v>
      </c>
      <c r="BI58" s="255" t="s">
        <v>505</v>
      </c>
      <c r="BJ58" s="255" t="s">
        <v>505</v>
      </c>
      <c r="BK58" s="255" t="s">
        <v>505</v>
      </c>
      <c r="BL58" s="300">
        <v>0</v>
      </c>
      <c r="BM58" s="301">
        <v>0</v>
      </c>
      <c r="BN58" s="302">
        <v>0</v>
      </c>
      <c r="BO58" s="287"/>
      <c r="BP58" s="288"/>
      <c r="BQ58" s="288"/>
      <c r="BR58" s="288"/>
      <c r="BS58" s="288"/>
      <c r="BT58" s="288"/>
      <c r="BU58" s="288"/>
      <c r="BV58" s="288"/>
      <c r="BW58" s="288"/>
      <c r="BX58" s="288"/>
      <c r="BY58" s="288"/>
      <c r="BZ58" s="288"/>
      <c r="CA58" s="288"/>
      <c r="CB58" s="289"/>
    </row>
    <row r="60" spans="1:82" ht="14.25" customHeight="1" x14ac:dyDescent="0.35">
      <c r="BB60" s="398"/>
    </row>
    <row r="62" spans="1:82" ht="42.75" customHeight="1" x14ac:dyDescent="0.35">
      <c r="A62" s="411" t="s">
        <v>543</v>
      </c>
      <c r="B62" s="905" t="s">
        <v>544</v>
      </c>
      <c r="C62" s="905"/>
      <c r="D62" s="905"/>
      <c r="E62" s="905"/>
      <c r="F62" s="905"/>
      <c r="G62" s="905"/>
      <c r="H62" s="905"/>
    </row>
    <row r="63" spans="1:82" ht="14.25" customHeight="1" x14ac:dyDescent="0.35">
      <c r="A63" s="412"/>
      <c r="B63" s="905"/>
      <c r="C63" s="905"/>
      <c r="D63" s="905"/>
      <c r="E63" s="905"/>
      <c r="F63" s="905"/>
      <c r="G63" s="905"/>
      <c r="H63" s="905"/>
    </row>
    <row r="64" spans="1:82" ht="14.25" customHeight="1" x14ac:dyDescent="0.35">
      <c r="A64" s="412"/>
      <c r="B64" s="905"/>
      <c r="C64" s="905"/>
      <c r="D64" s="905"/>
      <c r="E64" s="905"/>
      <c r="F64" s="905"/>
      <c r="G64" s="905"/>
      <c r="H64" s="905"/>
    </row>
  </sheetData>
  <mergeCells count="40">
    <mergeCell ref="Y1:Y3"/>
    <mergeCell ref="Z1:Z3"/>
    <mergeCell ref="B1:X1"/>
    <mergeCell ref="B2:I2"/>
    <mergeCell ref="L2:L3"/>
    <mergeCell ref="W2:W3"/>
    <mergeCell ref="J2:K2"/>
    <mergeCell ref="U2:V2"/>
    <mergeCell ref="X2:X3"/>
    <mergeCell ref="M2:T2"/>
    <mergeCell ref="AS2:AS3"/>
    <mergeCell ref="BF1:BF3"/>
    <mergeCell ref="BA2:BA3"/>
    <mergeCell ref="BD2:BD3"/>
    <mergeCell ref="AT1:BD1"/>
    <mergeCell ref="AW2:AW3"/>
    <mergeCell ref="AA1:AS1"/>
    <mergeCell ref="AX2:AZ2"/>
    <mergeCell ref="AK2:AQ2"/>
    <mergeCell ref="AT2:AV2"/>
    <mergeCell ref="AR2:AR3"/>
    <mergeCell ref="AJ2:AJ3"/>
    <mergeCell ref="AH2:AI2"/>
    <mergeCell ref="AA2:AG2"/>
    <mergeCell ref="B62:H64"/>
    <mergeCell ref="BM1:BM3"/>
    <mergeCell ref="BN1:BN3"/>
    <mergeCell ref="BB2:BC2"/>
    <mergeCell ref="BT2:BV2"/>
    <mergeCell ref="BO1:CB1"/>
    <mergeCell ref="BW2:BZ2"/>
    <mergeCell ref="CA2:CB2"/>
    <mergeCell ref="BO2:BS2"/>
    <mergeCell ref="BG1:BG3"/>
    <mergeCell ref="BH1:BH3"/>
    <mergeCell ref="BI1:BI3"/>
    <mergeCell ref="BJ1:BJ3"/>
    <mergeCell ref="BK1:BK3"/>
    <mergeCell ref="BL1:BL3"/>
    <mergeCell ref="BE1:BE3"/>
  </mergeCells>
  <conditionalFormatting sqref="K1 BC4:BC5 AI4:AI5 V4:V5 V7:V58 AI7:AI58 BC7:BC1048576 K3:K5 K7:K1048576">
    <cfRule type="cellIs" dxfId="27" priority="33" operator="equal">
      <formula>"FIX NEEDED"</formula>
    </cfRule>
    <cfRule type="cellIs" dxfId="26" priority="34" operator="equal">
      <formula>"MATCH"</formula>
    </cfRule>
  </conditionalFormatting>
  <conditionalFormatting sqref="AI1 AI59:AI1048576">
    <cfRule type="cellIs" dxfId="25" priority="23" operator="equal">
      <formula>"FIX NEEDED"</formula>
    </cfRule>
    <cfRule type="cellIs" dxfId="24" priority="24" operator="equal">
      <formula>"MATCH"</formula>
    </cfRule>
  </conditionalFormatting>
  <conditionalFormatting sqref="BC1">
    <cfRule type="cellIs" dxfId="23" priority="19" operator="equal">
      <formula>"FIX NEEDED"</formula>
    </cfRule>
    <cfRule type="cellIs" dxfId="22" priority="20" operator="equal">
      <formula>"MATCH"</formula>
    </cfRule>
  </conditionalFormatting>
  <conditionalFormatting sqref="V1 V59:V1048576">
    <cfRule type="cellIs" dxfId="21" priority="17" operator="equal">
      <formula>"FIX NEEDED"</formula>
    </cfRule>
    <cfRule type="cellIs" dxfId="20" priority="18" operator="equal">
      <formula>"MATCH"</formula>
    </cfRule>
  </conditionalFormatting>
  <conditionalFormatting sqref="V3">
    <cfRule type="cellIs" dxfId="19" priority="13" operator="equal">
      <formula>"FIX NEEDED"</formula>
    </cfRule>
    <cfRule type="cellIs" dxfId="18" priority="14" operator="equal">
      <formula>"MATCH"</formula>
    </cfRule>
  </conditionalFormatting>
  <conditionalFormatting sqref="AI3">
    <cfRule type="cellIs" dxfId="17" priority="11" operator="equal">
      <formula>"FIX NEEDED"</formula>
    </cfRule>
    <cfRule type="cellIs" dxfId="16" priority="12" operator="equal">
      <formula>"MATCH"</formula>
    </cfRule>
  </conditionalFormatting>
  <conditionalFormatting sqref="BC3">
    <cfRule type="cellIs" dxfId="15" priority="1" operator="equal">
      <formula>"FIX NEEDED"</formula>
    </cfRule>
    <cfRule type="cellIs" dxfId="14" priority="2" operator="equal">
      <formula>"MATCH"</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35211-5818-4774-A51C-4378288BBBAD}">
  <dimension ref="A1:CD64"/>
  <sheetViews>
    <sheetView showGridLines="0" zoomScaleNormal="100" workbookViewId="0">
      <pane xSplit="1" ySplit="3" topLeftCell="B4" activePane="bottomRight" state="frozen"/>
      <selection pane="topRight" activeCell="H1" sqref="H1:O1"/>
      <selection pane="bottomLeft" activeCell="H1" sqref="H1:O1"/>
      <selection pane="bottomRight"/>
    </sheetView>
  </sheetViews>
  <sheetFormatPr defaultColWidth="9.54296875" defaultRowHeight="14.25" customHeight="1" x14ac:dyDescent="0.35"/>
  <cols>
    <col min="1" max="1" width="38.1796875" style="617" customWidth="1"/>
    <col min="2" max="9" width="20.54296875" style="617" customWidth="1"/>
    <col min="10" max="11" width="20.54296875" style="617" hidden="1" customWidth="1"/>
    <col min="12" max="20" width="20.54296875" style="617" customWidth="1"/>
    <col min="21" max="22" width="20.54296875" style="617" hidden="1" customWidth="1"/>
    <col min="23" max="33" width="20.54296875" style="617" customWidth="1"/>
    <col min="34" max="35" width="20.54296875" style="617" hidden="1" customWidth="1"/>
    <col min="36" max="36" width="20.54296875" style="705" customWidth="1"/>
    <col min="37" max="43" width="20.54296875" style="617" customWidth="1"/>
    <col min="44" max="44" width="20.54296875" style="706" customWidth="1"/>
    <col min="45" max="53" width="20.54296875" style="617" customWidth="1"/>
    <col min="54" max="55" width="20.54296875" style="617" hidden="1" customWidth="1"/>
    <col min="56" max="56" width="20.54296875" style="617" customWidth="1"/>
    <col min="57" max="58" width="25.54296875" style="617" customWidth="1"/>
    <col min="59" max="62" width="20.54296875" style="617" customWidth="1"/>
    <col min="63" max="63" width="20.54296875" style="617" customWidth="1" collapsed="1"/>
    <col min="64" max="66" width="20.54296875" style="617" customWidth="1"/>
    <col min="67" max="67" width="30.54296875" style="616" customWidth="1"/>
    <col min="68" max="68" width="55.1796875" style="616" customWidth="1"/>
    <col min="69" max="69" width="26" style="616" customWidth="1"/>
    <col min="70" max="70" width="20.54296875" style="616" customWidth="1"/>
    <col min="71" max="71" width="22.54296875" style="616" customWidth="1"/>
    <col min="72" max="72" width="19" style="616" customWidth="1"/>
    <col min="73" max="73" width="27.81640625" style="616" customWidth="1"/>
    <col min="74" max="74" width="19.1796875" style="616" customWidth="1"/>
    <col min="75" max="77" width="11.453125" style="616" customWidth="1"/>
    <col min="78" max="78" width="17" style="616" customWidth="1"/>
    <col min="79" max="79" width="12.1796875" style="616" customWidth="1"/>
    <col min="80" max="80" width="30" style="616" customWidth="1"/>
    <col min="81" max="82" width="11.453125" style="616" customWidth="1"/>
    <col min="83" max="16384" width="9.54296875" style="617"/>
  </cols>
  <sheetData>
    <row r="1" spans="1:82" s="582" customFormat="1" ht="15" thickBot="1" x14ac:dyDescent="0.4">
      <c r="A1" s="580"/>
      <c r="B1" s="971" t="s">
        <v>397</v>
      </c>
      <c r="C1" s="972"/>
      <c r="D1" s="972"/>
      <c r="E1" s="972"/>
      <c r="F1" s="972"/>
      <c r="G1" s="972"/>
      <c r="H1" s="972"/>
      <c r="I1" s="972"/>
      <c r="J1" s="972"/>
      <c r="K1" s="972"/>
      <c r="L1" s="972"/>
      <c r="M1" s="972"/>
      <c r="N1" s="972"/>
      <c r="O1" s="972"/>
      <c r="P1" s="972"/>
      <c r="Q1" s="972"/>
      <c r="R1" s="972"/>
      <c r="S1" s="972"/>
      <c r="T1" s="972"/>
      <c r="U1" s="972"/>
      <c r="V1" s="972"/>
      <c r="W1" s="972"/>
      <c r="X1" s="1012"/>
      <c r="Y1" s="1001" t="s">
        <v>398</v>
      </c>
      <c r="Z1" s="969" t="s">
        <v>399</v>
      </c>
      <c r="AA1" s="971" t="s">
        <v>400</v>
      </c>
      <c r="AB1" s="972"/>
      <c r="AC1" s="972"/>
      <c r="AD1" s="972"/>
      <c r="AE1" s="972"/>
      <c r="AF1" s="972"/>
      <c r="AG1" s="972"/>
      <c r="AH1" s="972"/>
      <c r="AI1" s="972"/>
      <c r="AJ1" s="972"/>
      <c r="AK1" s="973"/>
      <c r="AL1" s="973"/>
      <c r="AM1" s="973"/>
      <c r="AN1" s="973"/>
      <c r="AO1" s="973"/>
      <c r="AP1" s="973"/>
      <c r="AQ1" s="973"/>
      <c r="AR1" s="973"/>
      <c r="AS1" s="973"/>
      <c r="AT1" s="974" t="s">
        <v>401</v>
      </c>
      <c r="AU1" s="975"/>
      <c r="AV1" s="975"/>
      <c r="AW1" s="975"/>
      <c r="AX1" s="975"/>
      <c r="AY1" s="975"/>
      <c r="AZ1" s="975"/>
      <c r="BA1" s="975"/>
      <c r="BB1" s="976"/>
      <c r="BC1" s="976"/>
      <c r="BD1" s="977"/>
      <c r="BE1" s="978" t="s">
        <v>402</v>
      </c>
      <c r="BF1" s="1001" t="s">
        <v>403</v>
      </c>
      <c r="BG1" s="1003" t="s">
        <v>404</v>
      </c>
      <c r="BH1" s="1006" t="s">
        <v>545</v>
      </c>
      <c r="BI1" s="1006" t="s">
        <v>546</v>
      </c>
      <c r="BJ1" s="1006" t="s">
        <v>547</v>
      </c>
      <c r="BK1" s="1009" t="s">
        <v>548</v>
      </c>
      <c r="BL1" s="1029" t="s">
        <v>409</v>
      </c>
      <c r="BM1" s="1031" t="s">
        <v>410</v>
      </c>
      <c r="BN1" s="989" t="s">
        <v>411</v>
      </c>
      <c r="BO1" s="991" t="s">
        <v>412</v>
      </c>
      <c r="BP1" s="992"/>
      <c r="BQ1" s="992"/>
      <c r="BR1" s="992"/>
      <c r="BS1" s="992"/>
      <c r="BT1" s="992"/>
      <c r="BU1" s="992"/>
      <c r="BV1" s="992"/>
      <c r="BW1" s="992"/>
      <c r="BX1" s="992"/>
      <c r="BY1" s="992"/>
      <c r="BZ1" s="992"/>
      <c r="CA1" s="992"/>
      <c r="CB1" s="993"/>
      <c r="CC1" s="581"/>
      <c r="CD1" s="581"/>
    </row>
    <row r="2" spans="1:82" s="582" customFormat="1" ht="15" thickBot="1" x14ac:dyDescent="0.4">
      <c r="A2" s="583"/>
      <c r="B2" s="994" t="s">
        <v>413</v>
      </c>
      <c r="C2" s="995"/>
      <c r="D2" s="995"/>
      <c r="E2" s="995"/>
      <c r="F2" s="995"/>
      <c r="G2" s="995"/>
      <c r="H2" s="995"/>
      <c r="I2" s="996"/>
      <c r="J2" s="985" t="s">
        <v>414</v>
      </c>
      <c r="K2" s="986"/>
      <c r="L2" s="997" t="s">
        <v>415</v>
      </c>
      <c r="M2" s="994" t="s">
        <v>416</v>
      </c>
      <c r="N2" s="995"/>
      <c r="O2" s="995"/>
      <c r="P2" s="995"/>
      <c r="Q2" s="995"/>
      <c r="R2" s="995"/>
      <c r="S2" s="995"/>
      <c r="T2" s="995"/>
      <c r="U2" s="985" t="s">
        <v>414</v>
      </c>
      <c r="V2" s="986"/>
      <c r="W2" s="999" t="s">
        <v>417</v>
      </c>
      <c r="X2" s="980" t="s">
        <v>418</v>
      </c>
      <c r="Y2" s="1002"/>
      <c r="Z2" s="970"/>
      <c r="AA2" s="982" t="s">
        <v>413</v>
      </c>
      <c r="AB2" s="983"/>
      <c r="AC2" s="983"/>
      <c r="AD2" s="983"/>
      <c r="AE2" s="983"/>
      <c r="AF2" s="983"/>
      <c r="AG2" s="984"/>
      <c r="AH2" s="985" t="s">
        <v>414</v>
      </c>
      <c r="AI2" s="986"/>
      <c r="AJ2" s="987" t="s">
        <v>415</v>
      </c>
      <c r="AK2" s="982" t="s">
        <v>416</v>
      </c>
      <c r="AL2" s="983"/>
      <c r="AM2" s="983"/>
      <c r="AN2" s="983"/>
      <c r="AO2" s="983"/>
      <c r="AP2" s="983"/>
      <c r="AQ2" s="984"/>
      <c r="AR2" s="1023" t="s">
        <v>417</v>
      </c>
      <c r="AS2" s="1025" t="s">
        <v>419</v>
      </c>
      <c r="AT2" s="1027" t="s">
        <v>413</v>
      </c>
      <c r="AU2" s="1028"/>
      <c r="AV2" s="1028"/>
      <c r="AW2" s="1016" t="s">
        <v>420</v>
      </c>
      <c r="AX2" s="1028" t="s">
        <v>416</v>
      </c>
      <c r="AY2" s="1028"/>
      <c r="AZ2" s="1028"/>
      <c r="BA2" s="1016" t="s">
        <v>421</v>
      </c>
      <c r="BB2" s="985" t="s">
        <v>414</v>
      </c>
      <c r="BC2" s="986"/>
      <c r="BD2" s="1018" t="s">
        <v>401</v>
      </c>
      <c r="BE2" s="979"/>
      <c r="BF2" s="1002"/>
      <c r="BG2" s="1004"/>
      <c r="BH2" s="1007"/>
      <c r="BI2" s="1007"/>
      <c r="BJ2" s="1007"/>
      <c r="BK2" s="1010"/>
      <c r="BL2" s="1029"/>
      <c r="BM2" s="1031"/>
      <c r="BN2" s="989"/>
      <c r="BO2" s="1020" t="s">
        <v>422</v>
      </c>
      <c r="BP2" s="1021"/>
      <c r="BQ2" s="1021"/>
      <c r="BR2" s="1021"/>
      <c r="BS2" s="1022"/>
      <c r="BT2" s="1013" t="s">
        <v>423</v>
      </c>
      <c r="BU2" s="1021"/>
      <c r="BV2" s="1022"/>
      <c r="BW2" s="1013" t="s">
        <v>424</v>
      </c>
      <c r="BX2" s="1021"/>
      <c r="BY2" s="1021"/>
      <c r="BZ2" s="1022"/>
      <c r="CA2" s="1013" t="s">
        <v>425</v>
      </c>
      <c r="CB2" s="1014"/>
      <c r="CC2" s="581"/>
      <c r="CD2" s="581"/>
    </row>
    <row r="3" spans="1:82" s="596" customFormat="1" ht="44" thickBot="1" x14ac:dyDescent="0.4">
      <c r="A3" s="584" t="s">
        <v>549</v>
      </c>
      <c r="B3" s="585" t="s">
        <v>427</v>
      </c>
      <c r="C3" s="586" t="s">
        <v>428</v>
      </c>
      <c r="D3" s="586" t="s">
        <v>429</v>
      </c>
      <c r="E3" s="586" t="s">
        <v>430</v>
      </c>
      <c r="F3" s="586" t="s">
        <v>431</v>
      </c>
      <c r="G3" s="586" t="s">
        <v>432</v>
      </c>
      <c r="H3" s="586" t="s">
        <v>433</v>
      </c>
      <c r="I3" s="586" t="s">
        <v>434</v>
      </c>
      <c r="J3" s="587" t="s">
        <v>435</v>
      </c>
      <c r="K3" s="587" t="s">
        <v>436</v>
      </c>
      <c r="L3" s="998"/>
      <c r="M3" s="585" t="s">
        <v>428</v>
      </c>
      <c r="N3" s="586" t="s">
        <v>429</v>
      </c>
      <c r="O3" s="586" t="s">
        <v>430</v>
      </c>
      <c r="P3" s="586" t="s">
        <v>437</v>
      </c>
      <c r="Q3" s="586" t="s">
        <v>432</v>
      </c>
      <c r="R3" s="586" t="s">
        <v>438</v>
      </c>
      <c r="S3" s="586" t="s">
        <v>433</v>
      </c>
      <c r="T3" s="586" t="s">
        <v>434</v>
      </c>
      <c r="U3" s="587" t="s">
        <v>435</v>
      </c>
      <c r="V3" s="587" t="s">
        <v>436</v>
      </c>
      <c r="W3" s="1000"/>
      <c r="X3" s="981"/>
      <c r="Y3" s="1002"/>
      <c r="Z3" s="970"/>
      <c r="AA3" s="585" t="s">
        <v>439</v>
      </c>
      <c r="AB3" s="586" t="s">
        <v>440</v>
      </c>
      <c r="AC3" s="586" t="s">
        <v>441</v>
      </c>
      <c r="AD3" s="586" t="s">
        <v>442</v>
      </c>
      <c r="AE3" s="586" t="s">
        <v>443</v>
      </c>
      <c r="AF3" s="586" t="s">
        <v>444</v>
      </c>
      <c r="AG3" s="586" t="s">
        <v>445</v>
      </c>
      <c r="AH3" s="587" t="s">
        <v>435</v>
      </c>
      <c r="AI3" s="587" t="s">
        <v>436</v>
      </c>
      <c r="AJ3" s="988"/>
      <c r="AK3" s="588" t="s">
        <v>439</v>
      </c>
      <c r="AL3" s="589" t="s">
        <v>440</v>
      </c>
      <c r="AM3" s="589" t="s">
        <v>441</v>
      </c>
      <c r="AN3" s="589" t="s">
        <v>442</v>
      </c>
      <c r="AO3" s="589" t="s">
        <v>443</v>
      </c>
      <c r="AP3" s="589" t="s">
        <v>444</v>
      </c>
      <c r="AQ3" s="589" t="s">
        <v>445</v>
      </c>
      <c r="AR3" s="1024"/>
      <c r="AS3" s="1026"/>
      <c r="AT3" s="590" t="s">
        <v>446</v>
      </c>
      <c r="AU3" s="591" t="s">
        <v>432</v>
      </c>
      <c r="AV3" s="591" t="s">
        <v>370</v>
      </c>
      <c r="AW3" s="1017"/>
      <c r="AX3" s="591" t="s">
        <v>446</v>
      </c>
      <c r="AY3" s="591" t="s">
        <v>432</v>
      </c>
      <c r="AZ3" s="591" t="s">
        <v>370</v>
      </c>
      <c r="BA3" s="1017"/>
      <c r="BB3" s="587" t="s">
        <v>435</v>
      </c>
      <c r="BC3" s="587" t="s">
        <v>436</v>
      </c>
      <c r="BD3" s="1019"/>
      <c r="BE3" s="979"/>
      <c r="BF3" s="1002"/>
      <c r="BG3" s="1005"/>
      <c r="BH3" s="1008"/>
      <c r="BI3" s="1008"/>
      <c r="BJ3" s="1008"/>
      <c r="BK3" s="1011"/>
      <c r="BL3" s="1030"/>
      <c r="BM3" s="1032"/>
      <c r="BN3" s="990"/>
      <c r="BO3" s="592" t="s">
        <v>447</v>
      </c>
      <c r="BP3" s="581" t="s">
        <v>448</v>
      </c>
      <c r="BQ3" s="581" t="s">
        <v>449</v>
      </c>
      <c r="BR3" s="581"/>
      <c r="BS3" s="593"/>
      <c r="BT3" s="594" t="s">
        <v>450</v>
      </c>
      <c r="BU3" s="581" t="s">
        <v>451</v>
      </c>
      <c r="BV3" s="593" t="s">
        <v>452</v>
      </c>
      <c r="BW3" s="594" t="s">
        <v>453</v>
      </c>
      <c r="BX3" s="581" t="s">
        <v>454</v>
      </c>
      <c r="BY3" s="581" t="s">
        <v>451</v>
      </c>
      <c r="BZ3" s="593" t="s">
        <v>452</v>
      </c>
      <c r="CA3" s="594" t="s">
        <v>455</v>
      </c>
      <c r="CB3" s="595" t="s">
        <v>451</v>
      </c>
    </row>
    <row r="4" spans="1:82" ht="14.25" customHeight="1" x14ac:dyDescent="0.35">
      <c r="A4" s="597" t="s">
        <v>348</v>
      </c>
      <c r="B4" s="598">
        <f t="shared" ref="B4:I4" si="0">B7+B23+B33</f>
        <v>51001.440141300001</v>
      </c>
      <c r="C4" s="599">
        <f t="shared" si="0"/>
        <v>15369.615552800002</v>
      </c>
      <c r="D4" s="599">
        <f t="shared" si="0"/>
        <v>22077.714</v>
      </c>
      <c r="E4" s="599">
        <f>E7+E23+E33</f>
        <v>21315.348305899999</v>
      </c>
      <c r="F4" s="599">
        <f t="shared" si="0"/>
        <v>22721.667999999998</v>
      </c>
      <c r="G4" s="599">
        <f t="shared" si="0"/>
        <v>2797.3870000000002</v>
      </c>
      <c r="H4" s="599">
        <f t="shared" si="0"/>
        <v>104.646</v>
      </c>
      <c r="I4" s="599">
        <f t="shared" si="0"/>
        <v>7.2380000000000004</v>
      </c>
      <c r="J4" s="600">
        <f>SUM(B4:I4)</f>
        <v>135395.05700000003</v>
      </c>
      <c r="K4" s="600" t="str">
        <f>IF(ROUND(J4,2)=ROUND(L4,2),"MATCH","FIX NEEDED")</f>
        <v>MATCH</v>
      </c>
      <c r="L4" s="600">
        <f>L7+L23+L33</f>
        <v>135395.05684999999</v>
      </c>
      <c r="M4" s="601">
        <f t="shared" ref="M4:T4" si="1">M7+M23+M33</f>
        <v>28706.788596499999</v>
      </c>
      <c r="N4" s="602">
        <f t="shared" si="1"/>
        <v>3433.9369999999999</v>
      </c>
      <c r="O4" s="602">
        <f t="shared" si="1"/>
        <v>3098.346</v>
      </c>
      <c r="P4" s="602">
        <f t="shared" si="1"/>
        <v>85.56</v>
      </c>
      <c r="Q4" s="602">
        <f t="shared" si="1"/>
        <v>1.9617435000000041</v>
      </c>
      <c r="R4" s="602">
        <f t="shared" si="1"/>
        <v>0</v>
      </c>
      <c r="S4" s="602">
        <f t="shared" si="1"/>
        <v>1170.048</v>
      </c>
      <c r="T4" s="602">
        <f t="shared" si="1"/>
        <v>0</v>
      </c>
      <c r="U4" s="600">
        <f>SUM(M4:T4)</f>
        <v>36496.641339999995</v>
      </c>
      <c r="V4" s="600" t="str">
        <f>IF(ROUND(U4,0)=ROUND(W4,0),"MATCH","FIX NEEDED")</f>
        <v>MATCH</v>
      </c>
      <c r="W4" s="603">
        <f t="shared" ref="W4:AG4" si="2">W7+W23+W33</f>
        <v>36496.641340000002</v>
      </c>
      <c r="X4" s="603">
        <f t="shared" si="2"/>
        <v>171891.69819</v>
      </c>
      <c r="Y4" s="604">
        <f t="shared" si="2"/>
        <v>1297.7585800000015</v>
      </c>
      <c r="Z4" s="597">
        <f t="shared" si="2"/>
        <v>248919.85460999998</v>
      </c>
      <c r="AA4" s="598">
        <f t="shared" si="2"/>
        <v>44056.124860000004</v>
      </c>
      <c r="AB4" s="599">
        <f t="shared" si="2"/>
        <v>0</v>
      </c>
      <c r="AC4" s="599">
        <f t="shared" si="2"/>
        <v>3970.8560000000002</v>
      </c>
      <c r="AD4" s="599">
        <f t="shared" si="2"/>
        <v>3751.7469999999998</v>
      </c>
      <c r="AE4" s="599">
        <f t="shared" si="2"/>
        <v>0</v>
      </c>
      <c r="AF4" s="599">
        <f t="shared" si="2"/>
        <v>0</v>
      </c>
      <c r="AG4" s="599">
        <f t="shared" si="2"/>
        <v>4689.62</v>
      </c>
      <c r="AH4" s="600">
        <f>SUM(AA4:AG4)</f>
        <v>56468.347860000009</v>
      </c>
      <c r="AI4" s="600" t="str">
        <f>IF(ROUND(AH4,0)=ROUND(AJ4,0),"MATCH","FIX NEEDED")</f>
        <v>MATCH</v>
      </c>
      <c r="AJ4" s="605">
        <f t="shared" ref="AJ4:AR4" si="3">AJ7+AJ23+AJ33</f>
        <v>56468.347860000002</v>
      </c>
      <c r="AK4" s="598">
        <f t="shared" si="3"/>
        <v>24244.279699999999</v>
      </c>
      <c r="AL4" s="599">
        <f t="shared" si="3"/>
        <v>0</v>
      </c>
      <c r="AM4" s="599">
        <f t="shared" si="3"/>
        <v>408.11799999999999</v>
      </c>
      <c r="AN4" s="599">
        <f t="shared" si="3"/>
        <v>211.5231</v>
      </c>
      <c r="AO4" s="599">
        <f t="shared" si="3"/>
        <v>0</v>
      </c>
      <c r="AP4" s="599">
        <f t="shared" si="3"/>
        <v>0</v>
      </c>
      <c r="AQ4" s="599">
        <f t="shared" si="3"/>
        <v>14.8216</v>
      </c>
      <c r="AR4" s="605">
        <f t="shared" si="3"/>
        <v>24878.121399999996</v>
      </c>
      <c r="AS4" s="606">
        <f t="shared" ref="AS4:AS21" si="4">SUM(AJ4+AR4)</f>
        <v>81346.469259999998</v>
      </c>
      <c r="AT4" s="598">
        <f>AT7+AT23+AT33</f>
        <v>25551.249789947426</v>
      </c>
      <c r="AU4" s="599">
        <f>AU7+AU23+AU33</f>
        <v>6526.1145700000006</v>
      </c>
      <c r="AV4" s="599">
        <f>AV7+AV23+AV33</f>
        <v>16938.321440000003</v>
      </c>
      <c r="AW4" s="599">
        <f>SUM(AT4:AV4)</f>
        <v>49015.68579994743</v>
      </c>
      <c r="AX4" s="599">
        <f>AX7+AX23+AX33</f>
        <v>8737.0479200000009</v>
      </c>
      <c r="AY4" s="599">
        <f>AY7+AY23+AY33</f>
        <v>26542.557069999995</v>
      </c>
      <c r="AZ4" s="599">
        <f>AZ7+AZ23+AZ33</f>
        <v>989.30700000000002</v>
      </c>
      <c r="BA4" s="599">
        <f>SUM(AX4:AZ4)</f>
        <v>36268.911989999993</v>
      </c>
      <c r="BB4" s="600">
        <f>AW4+BA4</f>
        <v>85284.597789947424</v>
      </c>
      <c r="BC4" s="600" t="str">
        <f t="shared" ref="BC4" si="5">IF(ROUND(BB4,0)=ROUND(BD4,0),"MATCH","FIX NEEDED")</f>
        <v>MATCH</v>
      </c>
      <c r="BD4" s="605">
        <f>BD7+BD23+BD33</f>
        <v>85284.597789947409</v>
      </c>
      <c r="BE4" s="607">
        <f>BE7+BE23+BE33</f>
        <v>572637.63792999997</v>
      </c>
      <c r="BF4" s="604">
        <f>BF7+BF23+BF33</f>
        <v>471480.56026</v>
      </c>
      <c r="BG4" s="608">
        <f>BF4/BE4</f>
        <v>0.8233488842338974</v>
      </c>
      <c r="BH4" s="609">
        <f>(X4-X15-X21)/BL4</f>
        <v>1.9670798007767547E-2</v>
      </c>
      <c r="BI4" s="609">
        <f t="shared" ref="BI4:BI23" si="6">X4/BN4</f>
        <v>1.0545373565355026E-3</v>
      </c>
      <c r="BJ4" s="609">
        <f>(BD4-BD15-BD21)/BL4</f>
        <v>1.1873551103272068E-2</v>
      </c>
      <c r="BK4" s="610">
        <f t="shared" ref="BK4:BK8" si="7">BD4/BN4</f>
        <v>5.2321197157057832E-4</v>
      </c>
      <c r="BL4" s="602">
        <f>BL7+BL23+BL33</f>
        <v>6952000</v>
      </c>
      <c r="BM4" s="611">
        <f>BM7+BM23+BM33</f>
        <v>431229000</v>
      </c>
      <c r="BN4" s="612">
        <f>BN7+BN23+BN33</f>
        <v>163002000</v>
      </c>
      <c r="BO4" s="613"/>
      <c r="BP4" s="614"/>
      <c r="BQ4" s="614"/>
      <c r="BR4" s="614"/>
      <c r="BS4" s="614"/>
      <c r="BT4" s="614"/>
      <c r="BU4" s="614"/>
      <c r="BV4" s="614"/>
      <c r="BW4" s="614"/>
      <c r="BX4" s="614"/>
      <c r="BY4" s="614"/>
      <c r="BZ4" s="614"/>
      <c r="CA4" s="614"/>
      <c r="CB4" s="615"/>
    </row>
    <row r="5" spans="1:82" ht="14.25" customHeight="1" x14ac:dyDescent="0.35">
      <c r="A5" s="618" t="s">
        <v>456</v>
      </c>
      <c r="B5" s="619">
        <f t="shared" ref="B5:I5" si="8">B9+B10+B12+B14+B16+B18+B19+B20+B22+B25+B27+B29+B30+B32+B35+B41+B50</f>
        <v>51001.440141300001</v>
      </c>
      <c r="C5" s="620">
        <f t="shared" si="8"/>
        <v>15369.615552800002</v>
      </c>
      <c r="D5" s="620">
        <f t="shared" si="8"/>
        <v>22077.714</v>
      </c>
      <c r="E5" s="620">
        <f t="shared" si="8"/>
        <v>21315.348305899999</v>
      </c>
      <c r="F5" s="620">
        <f t="shared" si="8"/>
        <v>22721.667999999998</v>
      </c>
      <c r="G5" s="620">
        <f t="shared" si="8"/>
        <v>2797.3870000000002</v>
      </c>
      <c r="H5" s="620">
        <f t="shared" si="8"/>
        <v>104.646</v>
      </c>
      <c r="I5" s="620">
        <f t="shared" si="8"/>
        <v>7.2380000000000004</v>
      </c>
      <c r="J5" s="621">
        <f>SUM(B5:I5)</f>
        <v>135395.05700000003</v>
      </c>
      <c r="K5" s="622" t="str">
        <f>IF(ROUND(J5,0)=ROUND(L5,0),"MATCH","FIX NEEDED")</f>
        <v>MATCH</v>
      </c>
      <c r="L5" s="621">
        <f>L9+L10+L12+L14+L16+L18+L19+L20+L22+L25+L27+L29+L30+L32+L35+L41+L50</f>
        <v>135395.05684999999</v>
      </c>
      <c r="M5" s="619">
        <f t="shared" ref="M5:R5" si="9">M9+M10+M12+M14+M16+M18+M19+M20+M22+M25+M27+M29+M30+M32+M35+M41+M50</f>
        <v>28706.788596499999</v>
      </c>
      <c r="N5" s="623">
        <f t="shared" si="9"/>
        <v>3433.9369999999999</v>
      </c>
      <c r="O5" s="623">
        <f t="shared" si="9"/>
        <v>3098.3460000000005</v>
      </c>
      <c r="P5" s="623">
        <f t="shared" si="9"/>
        <v>85.56</v>
      </c>
      <c r="Q5" s="623">
        <f t="shared" si="9"/>
        <v>1.9617435000000041</v>
      </c>
      <c r="R5" s="623">
        <f t="shared" si="9"/>
        <v>0</v>
      </c>
      <c r="S5" s="623">
        <f>S9+S10+S12+S14+S16+S18+S19+S20+S22+S25+S27+S29+S30+S32+S35+S41+S50</f>
        <v>1170.048</v>
      </c>
      <c r="T5" s="623">
        <f>T9+T10+T12+T14+T16+T18+T19+T20+T22+T25+T27+T29+T30+T32+T35+T41+T50</f>
        <v>0</v>
      </c>
      <c r="U5" s="621">
        <f>SUM(M5:T5)</f>
        <v>36496.641339999995</v>
      </c>
      <c r="V5" s="624" t="str">
        <f t="shared" ref="V5:V58" si="10">IF(ROUND(U5,0)=ROUND(W5,0),"MATCH","FIX NEEDED")</f>
        <v>MATCH</v>
      </c>
      <c r="W5" s="625">
        <f t="shared" ref="W5:AG5" si="11">W9+W10+W12+W14+W16+W18+W19+W20+W22+W25+W27+W29+W30+W32+W35+W41+W50</f>
        <v>36496.641339999995</v>
      </c>
      <c r="X5" s="626">
        <f t="shared" si="11"/>
        <v>171891.69819</v>
      </c>
      <c r="Y5" s="627">
        <f t="shared" si="11"/>
        <v>1297.7585800000033</v>
      </c>
      <c r="Z5" s="628">
        <f t="shared" si="11"/>
        <v>248919.85460999998</v>
      </c>
      <c r="AA5" s="619">
        <f t="shared" si="11"/>
        <v>44056.124859999996</v>
      </c>
      <c r="AB5" s="620">
        <f t="shared" si="11"/>
        <v>0</v>
      </c>
      <c r="AC5" s="620">
        <f t="shared" si="11"/>
        <v>3970.8560000000002</v>
      </c>
      <c r="AD5" s="620">
        <f t="shared" si="11"/>
        <v>3751.7469999999998</v>
      </c>
      <c r="AE5" s="620">
        <f t="shared" si="11"/>
        <v>0</v>
      </c>
      <c r="AF5" s="620">
        <f t="shared" si="11"/>
        <v>0</v>
      </c>
      <c r="AG5" s="620">
        <f t="shared" si="11"/>
        <v>4689.62</v>
      </c>
      <c r="AH5" s="621">
        <f t="shared" ref="AH5:AH50" si="12">SUM(AA5:AG5)</f>
        <v>56468.347860000002</v>
      </c>
      <c r="AI5" s="622" t="str">
        <f>IF(ROUND(AH5,0)=ROUND(AJ5,0),"MATCH","FIX NEEDED")</f>
        <v>MATCH</v>
      </c>
      <c r="AJ5" s="629">
        <f t="shared" ref="AJ5:AR5" si="13">AJ9+AJ10+AJ12+AJ14+AJ16+AJ18+AJ19+AJ20+AJ22+AJ25+AJ27+AJ29+AJ30+AJ32+AJ35+AJ41+AJ50</f>
        <v>56468.347860000009</v>
      </c>
      <c r="AK5" s="619">
        <f t="shared" si="13"/>
        <v>24244.279699999999</v>
      </c>
      <c r="AL5" s="620">
        <f t="shared" si="13"/>
        <v>0</v>
      </c>
      <c r="AM5" s="620">
        <f t="shared" si="13"/>
        <v>408.11799999999999</v>
      </c>
      <c r="AN5" s="620">
        <f t="shared" si="13"/>
        <v>211.5231</v>
      </c>
      <c r="AO5" s="620">
        <f t="shared" si="13"/>
        <v>0</v>
      </c>
      <c r="AP5" s="620">
        <f t="shared" si="13"/>
        <v>0</v>
      </c>
      <c r="AQ5" s="620">
        <f t="shared" si="13"/>
        <v>14.8216</v>
      </c>
      <c r="AR5" s="629">
        <f t="shared" si="13"/>
        <v>24878.121399999996</v>
      </c>
      <c r="AS5" s="630">
        <f t="shared" si="4"/>
        <v>81346.469260000013</v>
      </c>
      <c r="AT5" s="619">
        <f>AT9+AT10+AT12+AT14+AT16+AT18+AT19+AT20+AT22+AT25+AT27+AT29+AT30+AT32+AT35+AT41+AT50</f>
        <v>25551.249789947426</v>
      </c>
      <c r="AU5" s="620">
        <f>AU9+AU10+AU12+AU14+AU16+AU18+AU19+AU20+AU22+AU25+AU27+AU29+AU30+AU32+AU35+AU41+AU50</f>
        <v>6526.1145700000006</v>
      </c>
      <c r="AV5" s="620">
        <f>AV9+AV10+AV12+AV14+AV16+AV18+AV19+AV20+AV22+AV25+AV27+AV29+AV30+AV32+AV35+AV41+AV50</f>
        <v>16938.32144</v>
      </c>
      <c r="AW5" s="620">
        <f>SUM(AT5:AV5)</f>
        <v>49015.68579994743</v>
      </c>
      <c r="AX5" s="620">
        <f>AX9+AX10+AX12+AX14+AX16+AX18+AX19+AX20+AX22+AX25+AX27+AX29+AX30+AX32+AX35+AX41+AX50</f>
        <v>8737.0479200000009</v>
      </c>
      <c r="AY5" s="620">
        <f>AY9+AY10+AY12+AY14+AY16+AY18+AY19+AY20+AY22+AY25+AY27+AY29+AY30+AY32+AY35+AY41+AY50</f>
        <v>26542.557069999999</v>
      </c>
      <c r="AZ5" s="620">
        <f>AZ9+AZ10+AZ12+AZ14+AZ16+AZ18+AZ19+AZ20+AZ22+AZ25+AZ27+AZ29+AZ30+AZ32+AZ35+AZ41+AZ50</f>
        <v>989.30700000000002</v>
      </c>
      <c r="BA5" s="620">
        <f>SUM(AX5:AZ5)</f>
        <v>36268.911990000001</v>
      </c>
      <c r="BB5" s="621">
        <f t="shared" ref="BB5:BB50" si="14">AW5+BA5</f>
        <v>85284.597789947438</v>
      </c>
      <c r="BC5" s="622" t="str">
        <f>IF(ROUND(BB5,0)=ROUND(BD5,0),"MATCH","FIX NEEDED")</f>
        <v>MATCH</v>
      </c>
      <c r="BD5" s="629">
        <f>BD9+BD10+BD12+BD14+BD16+BD18+BD19+BD20+BD22+BD25+BD27+BD29+BD30+BD32+BD35+BD41+BD50</f>
        <v>85284.597789947409</v>
      </c>
      <c r="BE5" s="630">
        <f>BE9+BE10+BE12+BE14+BE16+BE18+BE19+BE20+BE22+BE25+BE27+BE29+BE30+BE32+BE35+BE41+BE50</f>
        <v>572637.63792999997</v>
      </c>
      <c r="BF5" s="631">
        <f>BF9+BF10+BF12+BF14+BF16+BF18+BF19+BF20+BF22+BF25+BF27+BF29+BF30+BF32+BF35+BF41+BF50</f>
        <v>471480.56025999994</v>
      </c>
      <c r="BG5" s="632">
        <f>BF5/BE5</f>
        <v>0.82334888423389729</v>
      </c>
      <c r="BH5" s="633">
        <f>(X5-X15-X21)/BL5</f>
        <v>1.9670798007767547E-2</v>
      </c>
      <c r="BI5" s="634">
        <f t="shared" si="6"/>
        <v>1.0545373565355026E-3</v>
      </c>
      <c r="BJ5" s="633">
        <f>(BD5-BD15-BD21)/BL5</f>
        <v>1.1873551103272068E-2</v>
      </c>
      <c r="BK5" s="635">
        <f t="shared" si="7"/>
        <v>5.2321197157057832E-4</v>
      </c>
      <c r="BL5" s="623">
        <f>BL9+BL10+BL12+BL14+BL16+BL18+BL19+BL20+BL22+BL25+BL27+BL29+BL30+BL32+BL35+BL41+BL50</f>
        <v>6952000</v>
      </c>
      <c r="BM5" s="620">
        <f>BM9+BM10+BM12+BM14+BM16+BM18+BM19+BM20+BM22+BM25+BM27+BM29+BM30+BM32+BM35+BM41+BM50</f>
        <v>431229000</v>
      </c>
      <c r="BN5" s="621">
        <f>BN9+BN10+BN12+BN14+BN16+BN18+BN19+BN20+BN22+BN25+BN27+BN29+BN30+BN32+BN35+BN41+BN50</f>
        <v>163002000</v>
      </c>
      <c r="BO5" s="636"/>
      <c r="BP5" s="637"/>
      <c r="BQ5" s="637"/>
      <c r="BR5" s="637"/>
      <c r="BS5" s="637"/>
      <c r="BT5" s="637"/>
      <c r="BU5" s="637"/>
      <c r="BV5" s="637"/>
      <c r="BW5" s="637"/>
      <c r="BX5" s="637"/>
      <c r="BY5" s="637"/>
      <c r="BZ5" s="637"/>
      <c r="CA5" s="637"/>
      <c r="CB5" s="638"/>
    </row>
    <row r="6" spans="1:82" ht="14.25" customHeight="1" x14ac:dyDescent="0.35">
      <c r="A6" s="618" t="s">
        <v>457</v>
      </c>
      <c r="B6" s="619">
        <f>'Water Dec'!B6/1000</f>
        <v>14724.327600000001</v>
      </c>
      <c r="C6" s="619">
        <f>'Water Dec'!C6/1000</f>
        <v>7203.2916400000004</v>
      </c>
      <c r="D6" s="619">
        <f>'Water Dec'!D6/1000</f>
        <v>0</v>
      </c>
      <c r="E6" s="619">
        <f>'Water Dec'!E6/1000</f>
        <v>19591.712810000001</v>
      </c>
      <c r="F6" s="619">
        <f>'Water Dec'!F6/1000</f>
        <v>22401.705999999998</v>
      </c>
      <c r="G6" s="619">
        <f>'Water Dec'!G6/1000</f>
        <v>0</v>
      </c>
      <c r="H6" s="619">
        <f>'Water Dec'!H6/1000</f>
        <v>88.438000000000002</v>
      </c>
      <c r="I6" s="619">
        <f>'Water Dec'!I6/1000</f>
        <v>0</v>
      </c>
      <c r="J6" s="619">
        <f>'Water Dec'!J6/1000</f>
        <v>64009.476050000005</v>
      </c>
      <c r="K6" s="639" t="str">
        <f t="shared" ref="K6:K58" si="15">IF(ROUND(J6,0)=ROUND(L6,0),"MATCH","FIX NEEDED")</f>
        <v>MATCH</v>
      </c>
      <c r="L6" s="619">
        <f>'Water Dec'!L6/1000</f>
        <v>64009.475919999997</v>
      </c>
      <c r="M6" s="619">
        <f>'Water Dec'!M6/1000</f>
        <v>0</v>
      </c>
      <c r="N6" s="619">
        <f>'Water Dec'!N6/1000</f>
        <v>36.283999999999999</v>
      </c>
      <c r="O6" s="619">
        <f>'Water Dec'!O6/1000</f>
        <v>2527.7910000000002</v>
      </c>
      <c r="P6" s="619">
        <f>'Water Dec'!P6/1000</f>
        <v>0</v>
      </c>
      <c r="Q6" s="619">
        <f>'Water Dec'!Q6/1000</f>
        <v>0</v>
      </c>
      <c r="R6" s="619">
        <f>'Water Dec'!R6/1000</f>
        <v>0</v>
      </c>
      <c r="S6" s="619">
        <f>'Water Dec'!S6/1000</f>
        <v>1170.048</v>
      </c>
      <c r="T6" s="619">
        <f>'Water Dec'!T6/1000</f>
        <v>0</v>
      </c>
      <c r="U6" s="619">
        <f>'Water Dec'!U6/1000</f>
        <v>3734.123</v>
      </c>
      <c r="V6" s="624" t="str">
        <f t="shared" si="10"/>
        <v>MATCH</v>
      </c>
      <c r="W6" s="619">
        <f>'Water Dec'!W6/1000</f>
        <v>3734.123</v>
      </c>
      <c r="X6" s="619">
        <f>'Water Dec'!X6/1000</f>
        <v>67743.598919999989</v>
      </c>
      <c r="Y6" s="619">
        <f>'Water Dec'!Y6/1000</f>
        <v>-7034.4170800000002</v>
      </c>
      <c r="Z6" s="619">
        <f>'Water Dec'!Z6/1000</f>
        <v>137178.05871000001</v>
      </c>
      <c r="AA6" s="619">
        <f>'Water Dec'!AA6/1000</f>
        <v>13618.579449999999</v>
      </c>
      <c r="AB6" s="619">
        <f>'Water Dec'!AB6/1000</f>
        <v>0</v>
      </c>
      <c r="AC6" s="619">
        <f>'Water Dec'!AC6/1000</f>
        <v>3091.2890000000002</v>
      </c>
      <c r="AD6" s="619">
        <f>'Water Dec'!AD6/1000</f>
        <v>3751.7469999999998</v>
      </c>
      <c r="AE6" s="619">
        <f>'Water Dec'!AE6/1000</f>
        <v>0</v>
      </c>
      <c r="AF6" s="619">
        <f>'Water Dec'!AF6/1000</f>
        <v>0</v>
      </c>
      <c r="AG6" s="619">
        <f>'Water Dec'!AG6/1000</f>
        <v>3415.5250000000001</v>
      </c>
      <c r="AH6" s="619">
        <f>'Water Dec'!AH6/1000</f>
        <v>23877.140449999999</v>
      </c>
      <c r="AI6" s="619" t="e">
        <f>'Water Dec'!AI6/1000</f>
        <v>#VALUE!</v>
      </c>
      <c r="AJ6" s="619">
        <f>'Water Dec'!AJ6/1000</f>
        <v>23877.140449999999</v>
      </c>
      <c r="AK6" s="619">
        <f>'Water Dec'!AK6/1000</f>
        <v>202.82900000000001</v>
      </c>
      <c r="AL6" s="619">
        <f>'Water Dec'!AL6/1000</f>
        <v>0</v>
      </c>
      <c r="AM6" s="619">
        <f>'Water Dec'!AM6/1000</f>
        <v>0</v>
      </c>
      <c r="AN6" s="619">
        <f>'Water Dec'!AN6/1000</f>
        <v>0</v>
      </c>
      <c r="AO6" s="619">
        <f>'Water Dec'!AO6/1000</f>
        <v>0</v>
      </c>
      <c r="AP6" s="619">
        <f>'Water Dec'!AP6/1000</f>
        <v>0</v>
      </c>
      <c r="AQ6" s="619">
        <f>'Water Dec'!AQ6/1000</f>
        <v>14.8216</v>
      </c>
      <c r="AR6" s="619">
        <f>'Water Dec'!AR6/1000</f>
        <v>217.6506</v>
      </c>
      <c r="AS6" s="619">
        <f>'Water Dec'!AS6/1000</f>
        <v>24094.791049999996</v>
      </c>
      <c r="AT6" s="619">
        <f>'Water Dec'!AT6/1000</f>
        <v>14424.29585</v>
      </c>
      <c r="AU6" s="619">
        <f>'Water Dec'!AU6/1000</f>
        <v>5980.4459500000003</v>
      </c>
      <c r="AV6" s="619">
        <f>'Water Dec'!AV6/1000</f>
        <v>2865.1208799999999</v>
      </c>
      <c r="AW6" s="619">
        <f>'Water Dec'!AW6/1000</f>
        <v>23269.862679999998</v>
      </c>
      <c r="AX6" s="619">
        <f>'Water Dec'!AX6/1000</f>
        <v>6962.0597200000011</v>
      </c>
      <c r="AY6" s="619">
        <f>'Water Dec'!AY6/1000</f>
        <v>19243.153999999999</v>
      </c>
      <c r="AZ6" s="619">
        <f>'Water Dec'!AZ6/1000</f>
        <v>948.66399999999999</v>
      </c>
      <c r="BA6" s="619">
        <f>'Water Dec'!BA6/1000</f>
        <v>27153.87772</v>
      </c>
      <c r="BB6" s="619">
        <f>'Water Dec'!BB6/1000</f>
        <v>50423.740399999995</v>
      </c>
      <c r="BC6" s="619" t="e">
        <f>'Water Dec'!BC6/1000</f>
        <v>#VALUE!</v>
      </c>
      <c r="BD6" s="619">
        <f>'Water Dec'!BD6/1000</f>
        <v>50423.740400000002</v>
      </c>
      <c r="BE6" s="619">
        <f>'Water Dec'!BE6/1000</f>
        <v>348245.05131999997</v>
      </c>
      <c r="BF6" s="619">
        <f>'Water Dec'!BF6/1000</f>
        <v>291660.11338</v>
      </c>
      <c r="BG6" s="632">
        <f>BF6/BE6</f>
        <v>0.83751402144691367</v>
      </c>
      <c r="BH6" s="633">
        <f t="shared" ref="BH6:BH20" si="16">X6/BL6</f>
        <v>1.4040124128497406E-2</v>
      </c>
      <c r="BI6" s="634">
        <f t="shared" si="6"/>
        <v>7.2135957363887076E-4</v>
      </c>
      <c r="BJ6" s="633">
        <f t="shared" ref="BJ6:BJ8" si="17">BD6/BL6</f>
        <v>1.0450516145077721E-2</v>
      </c>
      <c r="BK6" s="635">
        <f t="shared" si="7"/>
        <v>5.3693114118686844E-4</v>
      </c>
      <c r="BL6" s="623">
        <f>ROUND('Water Dec'!BL6,-3)</f>
        <v>4825000</v>
      </c>
      <c r="BM6" s="623">
        <f>ROUND('Water Dec'!BM6,-3)</f>
        <v>189129000</v>
      </c>
      <c r="BN6" s="623">
        <f>ROUND('Water Dec'!BN6,-3)</f>
        <v>93911000</v>
      </c>
      <c r="BO6" s="636"/>
      <c r="BP6" s="637"/>
      <c r="BQ6" s="637"/>
      <c r="BR6" s="637"/>
      <c r="BS6" s="637"/>
      <c r="BT6" s="637"/>
      <c r="BU6" s="637"/>
      <c r="BV6" s="637"/>
      <c r="BW6" s="637"/>
      <c r="BX6" s="637"/>
      <c r="BY6" s="637"/>
      <c r="BZ6" s="637"/>
      <c r="CA6" s="637"/>
      <c r="CB6" s="638"/>
    </row>
    <row r="7" spans="1:82" s="654" customFormat="1" ht="14.25" customHeight="1" x14ac:dyDescent="0.35">
      <c r="A7" s="640" t="s">
        <v>349</v>
      </c>
      <c r="B7" s="641">
        <f>B8+B11+B13+B15+B17+B21</f>
        <v>43295.654999999999</v>
      </c>
      <c r="C7" s="642">
        <f>C8+C11+C13+C15+C17+C21</f>
        <v>12336.078440000001</v>
      </c>
      <c r="D7" s="642">
        <f t="shared" ref="D7:I7" si="18">D8+D11+D13+D15+D17+D21</f>
        <v>762.44500000000005</v>
      </c>
      <c r="E7" s="642">
        <f>E8+E11+E13+E15+E17+E21</f>
        <v>3113.3430000000003</v>
      </c>
      <c r="F7" s="642">
        <f t="shared" si="18"/>
        <v>4762.7339999999995</v>
      </c>
      <c r="G7" s="642">
        <f t="shared" si="18"/>
        <v>0</v>
      </c>
      <c r="H7" s="642">
        <f t="shared" si="18"/>
        <v>104.634</v>
      </c>
      <c r="I7" s="642">
        <f t="shared" si="18"/>
        <v>7.2380000000000004</v>
      </c>
      <c r="J7" s="624">
        <f t="shared" ref="J7:J50" si="19">SUM(B7:I7)</f>
        <v>64382.127439999989</v>
      </c>
      <c r="K7" s="639" t="str">
        <f t="shared" si="15"/>
        <v>MATCH</v>
      </c>
      <c r="L7" s="624">
        <f>L8+L11+L13+L15+L17+L21</f>
        <v>64382.127290000004</v>
      </c>
      <c r="M7" s="641">
        <f t="shared" ref="M7:T7" si="20">M8+M11+M13+M15+M17+M21</f>
        <v>27335.411</v>
      </c>
      <c r="N7" s="643">
        <f t="shared" si="20"/>
        <v>0</v>
      </c>
      <c r="O7" s="643">
        <f t="shared" si="20"/>
        <v>256.12</v>
      </c>
      <c r="P7" s="643">
        <f t="shared" si="20"/>
        <v>0</v>
      </c>
      <c r="Q7" s="643">
        <f t="shared" si="20"/>
        <v>0</v>
      </c>
      <c r="R7" s="643">
        <f t="shared" si="20"/>
        <v>0</v>
      </c>
      <c r="S7" s="643">
        <f t="shared" si="20"/>
        <v>1170.048</v>
      </c>
      <c r="T7" s="643">
        <f t="shared" si="20"/>
        <v>0</v>
      </c>
      <c r="U7" s="624">
        <f t="shared" ref="U7:U8" si="21">SUM(M7:T7)</f>
        <v>28761.578999999998</v>
      </c>
      <c r="V7" s="624" t="str">
        <f t="shared" si="10"/>
        <v>MATCH</v>
      </c>
      <c r="W7" s="644">
        <f t="shared" ref="W7:BF7" si="22">W8+W11+W13+W15+W17+W21</f>
        <v>28761.579000000002</v>
      </c>
      <c r="X7" s="644">
        <f t="shared" si="22"/>
        <v>93143.706290000002</v>
      </c>
      <c r="Y7" s="645">
        <f t="shared" si="22"/>
        <v>13047.772700000001</v>
      </c>
      <c r="Z7" s="646">
        <f t="shared" si="22"/>
        <v>131750.71575</v>
      </c>
      <c r="AA7" s="641">
        <f t="shared" si="22"/>
        <v>29069.955450000001</v>
      </c>
      <c r="AB7" s="642">
        <f t="shared" si="22"/>
        <v>0</v>
      </c>
      <c r="AC7" s="642">
        <f t="shared" si="22"/>
        <v>3970.8560000000002</v>
      </c>
      <c r="AD7" s="642">
        <f t="shared" si="22"/>
        <v>0</v>
      </c>
      <c r="AE7" s="642">
        <f t="shared" si="22"/>
        <v>0</v>
      </c>
      <c r="AF7" s="642">
        <f t="shared" si="22"/>
        <v>0</v>
      </c>
      <c r="AG7" s="642">
        <f t="shared" si="22"/>
        <v>415.18099999999998</v>
      </c>
      <c r="AH7" s="624">
        <f t="shared" si="12"/>
        <v>33455.992449999998</v>
      </c>
      <c r="AI7" s="624" t="str">
        <f t="shared" ref="AI7:AI50" si="23">IF(ROUND(AH7,0)=ROUND(AJ7,0),"MATCH","FIX NEEDED")</f>
        <v>MATCH</v>
      </c>
      <c r="AJ7" s="647">
        <f t="shared" si="22"/>
        <v>33455.992450000005</v>
      </c>
      <c r="AK7" s="641">
        <f t="shared" si="22"/>
        <v>24041.450699999998</v>
      </c>
      <c r="AL7" s="642">
        <f t="shared" si="22"/>
        <v>0</v>
      </c>
      <c r="AM7" s="642">
        <f t="shared" si="22"/>
        <v>331.89400000000001</v>
      </c>
      <c r="AN7" s="642">
        <f t="shared" si="22"/>
        <v>0</v>
      </c>
      <c r="AO7" s="642">
        <f t="shared" si="22"/>
        <v>0</v>
      </c>
      <c r="AP7" s="642">
        <f t="shared" si="22"/>
        <v>0</v>
      </c>
      <c r="AQ7" s="642">
        <f t="shared" si="22"/>
        <v>14.8216</v>
      </c>
      <c r="AR7" s="647">
        <f t="shared" si="22"/>
        <v>24388.166299999997</v>
      </c>
      <c r="AS7" s="648">
        <f t="shared" si="4"/>
        <v>57844.158750000002</v>
      </c>
      <c r="AT7" s="641">
        <f t="shared" ref="AT7:BA7" si="24">AT8+AT11+AT13+AT15+AT17+AT21</f>
        <v>14077.163969947427</v>
      </c>
      <c r="AU7" s="642">
        <f t="shared" si="24"/>
        <v>687.06726000000003</v>
      </c>
      <c r="AV7" s="642">
        <f t="shared" si="24"/>
        <v>3200.8558800000001</v>
      </c>
      <c r="AW7" s="642">
        <f t="shared" si="24"/>
        <v>17965.087109947424</v>
      </c>
      <c r="AX7" s="642">
        <f t="shared" si="24"/>
        <v>109.738</v>
      </c>
      <c r="AY7" s="642">
        <f t="shared" si="24"/>
        <v>1055.838</v>
      </c>
      <c r="AZ7" s="642">
        <f t="shared" si="24"/>
        <v>0</v>
      </c>
      <c r="BA7" s="642">
        <f t="shared" si="24"/>
        <v>1165.576</v>
      </c>
      <c r="BB7" s="624">
        <f t="shared" si="14"/>
        <v>19130.663109947425</v>
      </c>
      <c r="BC7" s="624" t="str">
        <f t="shared" ref="BC7:BC50" si="25">IF(ROUND(BB7,0)=ROUND(BD7,0),"MATCH","FIX NEEDED")</f>
        <v>MATCH</v>
      </c>
      <c r="BD7" s="647">
        <f t="shared" si="22"/>
        <v>19130.663109947425</v>
      </c>
      <c r="BE7" s="648">
        <f t="shared" si="22"/>
        <v>118444.26919000001</v>
      </c>
      <c r="BF7" s="645">
        <f t="shared" si="22"/>
        <v>90673.654630000005</v>
      </c>
      <c r="BG7" s="649">
        <f t="shared" ref="BG7:BG56" si="26">BF7/BE7</f>
        <v>0.76553855454625397</v>
      </c>
      <c r="BH7" s="650">
        <f>(X7-X15-X21)/BL7</f>
        <v>2.5340059349060726E-2</v>
      </c>
      <c r="BI7" s="651">
        <f t="shared" si="6"/>
        <v>1.8141108267762543E-3</v>
      </c>
      <c r="BJ7" s="650">
        <f>(BD7-BD15-BD21)/BL7</f>
        <v>7.1607656574693866E-3</v>
      </c>
      <c r="BK7" s="652">
        <f t="shared" si="7"/>
        <v>3.7259783246236029E-4</v>
      </c>
      <c r="BL7" s="643">
        <f t="shared" ref="BL7:BN7" si="27">BL8+BL11+BL13+BL15+BL17+BL21</f>
        <v>2289000</v>
      </c>
      <c r="BM7" s="642">
        <f t="shared" si="27"/>
        <v>393341000</v>
      </c>
      <c r="BN7" s="624">
        <f t="shared" si="27"/>
        <v>51344000</v>
      </c>
      <c r="BO7" s="636"/>
      <c r="BP7" s="637"/>
      <c r="BQ7" s="637"/>
      <c r="BR7" s="637"/>
      <c r="BS7" s="637"/>
      <c r="BT7" s="637"/>
      <c r="BU7" s="637"/>
      <c r="BV7" s="637"/>
      <c r="BW7" s="637"/>
      <c r="BX7" s="637"/>
      <c r="BY7" s="637"/>
      <c r="BZ7" s="637"/>
      <c r="CA7" s="637"/>
      <c r="CB7" s="638"/>
      <c r="CC7" s="653"/>
      <c r="CD7" s="653"/>
    </row>
    <row r="8" spans="1:82" ht="14.25" customHeight="1" x14ac:dyDescent="0.35">
      <c r="A8" s="655" t="s">
        <v>351</v>
      </c>
      <c r="B8" s="656">
        <f t="shared" ref="B8:I8" si="28">SUM(B9:B10)</f>
        <v>2700.84</v>
      </c>
      <c r="C8" s="657">
        <f t="shared" si="28"/>
        <v>2255.02</v>
      </c>
      <c r="D8" s="657">
        <f t="shared" si="28"/>
        <v>0</v>
      </c>
      <c r="E8" s="657">
        <f>SUM(E9:E10)</f>
        <v>1854.8150000000001</v>
      </c>
      <c r="F8" s="657">
        <f t="shared" si="28"/>
        <v>4203.21</v>
      </c>
      <c r="G8" s="657">
        <f t="shared" si="28"/>
        <v>0</v>
      </c>
      <c r="H8" s="657">
        <f t="shared" si="28"/>
        <v>0</v>
      </c>
      <c r="I8" s="657">
        <f t="shared" si="28"/>
        <v>0</v>
      </c>
      <c r="J8" s="639">
        <f t="shared" si="19"/>
        <v>11013.885000000002</v>
      </c>
      <c r="K8" s="639" t="str">
        <f t="shared" si="15"/>
        <v>MATCH</v>
      </c>
      <c r="L8" s="639">
        <f t="shared" ref="L8:T8" si="29">SUM(L9:L10)</f>
        <v>11013.885</v>
      </c>
      <c r="M8" s="656">
        <f t="shared" si="29"/>
        <v>0</v>
      </c>
      <c r="N8" s="658">
        <f t="shared" si="29"/>
        <v>0</v>
      </c>
      <c r="O8" s="658">
        <f t="shared" si="29"/>
        <v>0</v>
      </c>
      <c r="P8" s="658">
        <f t="shared" si="29"/>
        <v>0</v>
      </c>
      <c r="Q8" s="658">
        <f t="shared" si="29"/>
        <v>0</v>
      </c>
      <c r="R8" s="658">
        <f t="shared" si="29"/>
        <v>0</v>
      </c>
      <c r="S8" s="658">
        <f t="shared" si="29"/>
        <v>0</v>
      </c>
      <c r="T8" s="658">
        <f t="shared" si="29"/>
        <v>0</v>
      </c>
      <c r="U8" s="639">
        <f t="shared" si="21"/>
        <v>0</v>
      </c>
      <c r="V8" s="624" t="str">
        <f t="shared" si="10"/>
        <v>MATCH</v>
      </c>
      <c r="W8" s="659">
        <f t="shared" ref="W8:AR8" si="30">SUM(W9:W10)</f>
        <v>0</v>
      </c>
      <c r="X8" s="659">
        <f>SUM(X9:X10)</f>
        <v>11013.885</v>
      </c>
      <c r="Y8" s="660">
        <f t="shared" si="30"/>
        <v>3150.5632999999998</v>
      </c>
      <c r="Z8" s="661">
        <f t="shared" si="30"/>
        <v>2393.328</v>
      </c>
      <c r="AA8" s="656">
        <f t="shared" si="30"/>
        <v>591.27499999999998</v>
      </c>
      <c r="AB8" s="657">
        <f t="shared" si="30"/>
        <v>0</v>
      </c>
      <c r="AC8" s="657">
        <f t="shared" si="30"/>
        <v>1975.8050000000001</v>
      </c>
      <c r="AD8" s="657">
        <f t="shared" si="30"/>
        <v>0</v>
      </c>
      <c r="AE8" s="657">
        <f t="shared" si="30"/>
        <v>0</v>
      </c>
      <c r="AF8" s="657">
        <f t="shared" si="30"/>
        <v>0</v>
      </c>
      <c r="AG8" s="657">
        <f t="shared" si="30"/>
        <v>305.125</v>
      </c>
      <c r="AH8" s="639">
        <f t="shared" si="12"/>
        <v>2872.2049999999999</v>
      </c>
      <c r="AI8" s="639" t="str">
        <f t="shared" si="23"/>
        <v>MATCH</v>
      </c>
      <c r="AJ8" s="662">
        <f t="shared" si="30"/>
        <v>2872.2049999999999</v>
      </c>
      <c r="AK8" s="656">
        <f t="shared" si="30"/>
        <v>0</v>
      </c>
      <c r="AL8" s="657">
        <f t="shared" si="30"/>
        <v>0</v>
      </c>
      <c r="AM8" s="657">
        <f t="shared" si="30"/>
        <v>0</v>
      </c>
      <c r="AN8" s="657">
        <f t="shared" si="30"/>
        <v>0</v>
      </c>
      <c r="AO8" s="657">
        <f t="shared" si="30"/>
        <v>0</v>
      </c>
      <c r="AP8" s="657">
        <f t="shared" si="30"/>
        <v>0</v>
      </c>
      <c r="AQ8" s="657">
        <f t="shared" si="30"/>
        <v>0</v>
      </c>
      <c r="AR8" s="662">
        <f t="shared" si="30"/>
        <v>0</v>
      </c>
      <c r="AS8" s="663">
        <f t="shared" si="4"/>
        <v>2872.2049999999999</v>
      </c>
      <c r="AT8" s="656">
        <f t="shared" ref="AT8:AZ8" si="31">SUM(AT9:AT10)</f>
        <v>2670.2330000000002</v>
      </c>
      <c r="AU8" s="657">
        <f t="shared" si="31"/>
        <v>70.236999999999995</v>
      </c>
      <c r="AV8" s="657">
        <f t="shared" si="31"/>
        <v>1778.193</v>
      </c>
      <c r="AW8" s="657">
        <f t="shared" ref="AW8:AW49" si="32">SUM(AT8:AV8)</f>
        <v>4518.6630000000005</v>
      </c>
      <c r="AX8" s="657">
        <f t="shared" si="31"/>
        <v>0</v>
      </c>
      <c r="AY8" s="657">
        <f t="shared" si="31"/>
        <v>0</v>
      </c>
      <c r="AZ8" s="657">
        <f t="shared" si="31"/>
        <v>0</v>
      </c>
      <c r="BA8" s="657">
        <f t="shared" ref="BA8:BA49" si="33">SUM(AX8:AZ8)</f>
        <v>0</v>
      </c>
      <c r="BB8" s="639">
        <f t="shared" si="14"/>
        <v>4518.6630000000005</v>
      </c>
      <c r="BC8" s="639" t="str">
        <f t="shared" si="25"/>
        <v>MATCH</v>
      </c>
      <c r="BD8" s="662">
        <f>SUM(BD9:BD10)</f>
        <v>4518.6629999999996</v>
      </c>
      <c r="BE8" s="663">
        <f t="shared" ref="BE8:BF8" si="34">SUM(BE9:BE10)</f>
        <v>28298.041000000001</v>
      </c>
      <c r="BF8" s="660">
        <f t="shared" si="34"/>
        <v>20121.774000000001</v>
      </c>
      <c r="BG8" s="664">
        <f t="shared" si="26"/>
        <v>0.71106597096244228</v>
      </c>
      <c r="BH8" s="665">
        <f t="shared" si="16"/>
        <v>1.5801843615494977E-2</v>
      </c>
      <c r="BI8" s="666">
        <f t="shared" si="6"/>
        <v>2.1944381350866705E-3</v>
      </c>
      <c r="BJ8" s="665">
        <f t="shared" si="17"/>
        <v>6.4830172166427539E-3</v>
      </c>
      <c r="BK8" s="667">
        <f t="shared" si="7"/>
        <v>9.0031141661685581E-4</v>
      </c>
      <c r="BL8" s="668">
        <f>SUM(BL9:BL10)</f>
        <v>697000</v>
      </c>
      <c r="BM8" s="669">
        <f t="shared" ref="BM8:BN8" si="35">SUM(BM9:BM10)</f>
        <v>0</v>
      </c>
      <c r="BN8" s="670">
        <f t="shared" si="35"/>
        <v>5019000</v>
      </c>
      <c r="BO8" s="636"/>
      <c r="BP8" s="637"/>
      <c r="BQ8" s="637"/>
      <c r="BR8" s="637"/>
      <c r="BS8" s="637"/>
      <c r="BT8" s="637"/>
      <c r="BU8" s="637"/>
      <c r="BV8" s="637"/>
      <c r="BW8" s="637"/>
      <c r="BX8" s="637"/>
      <c r="BY8" s="637"/>
      <c r="BZ8" s="637"/>
      <c r="CA8" s="637"/>
      <c r="CB8" s="638"/>
    </row>
    <row r="9" spans="1:82" ht="14.25" customHeight="1" x14ac:dyDescent="0.35">
      <c r="A9" s="671" t="s">
        <v>352</v>
      </c>
      <c r="B9" s="672">
        <f>'Water Dec'!B9/1000</f>
        <v>2700.84</v>
      </c>
      <c r="C9" s="672">
        <f>'Water Dec'!C9/1000</f>
        <v>2255.02</v>
      </c>
      <c r="D9" s="672">
        <f>'Water Dec'!D9/1000</f>
        <v>0</v>
      </c>
      <c r="E9" s="672">
        <f>'Water Dec'!E9/1000</f>
        <v>1854.8150000000001</v>
      </c>
      <c r="F9" s="672">
        <f>'Water Dec'!F9/1000</f>
        <v>4203.21</v>
      </c>
      <c r="G9" s="672">
        <f>'Water Dec'!G9/1000</f>
        <v>0</v>
      </c>
      <c r="H9" s="672">
        <f>'Water Dec'!H9/1000</f>
        <v>0</v>
      </c>
      <c r="I9" s="672">
        <f>'Water Dec'!I9/1000</f>
        <v>0</v>
      </c>
      <c r="J9" s="672">
        <f>'Water Dec'!J9/1000</f>
        <v>11013.885</v>
      </c>
      <c r="K9" s="639" t="str">
        <f t="shared" si="15"/>
        <v>MATCH</v>
      </c>
      <c r="L9" s="672">
        <f>'Water Dec'!L9/1000</f>
        <v>11013.885</v>
      </c>
      <c r="M9" s="672">
        <f>'Water Dec'!M9/1000</f>
        <v>0</v>
      </c>
      <c r="N9" s="672">
        <f>'Water Dec'!N9/1000</f>
        <v>0</v>
      </c>
      <c r="O9" s="672">
        <f>'Water Dec'!O9/1000</f>
        <v>0</v>
      </c>
      <c r="P9" s="672">
        <f>'Water Dec'!P9/1000</f>
        <v>0</v>
      </c>
      <c r="Q9" s="672">
        <f>'Water Dec'!Q9/1000</f>
        <v>0</v>
      </c>
      <c r="R9" s="672">
        <f>'Water Dec'!R9/1000</f>
        <v>0</v>
      </c>
      <c r="S9" s="672">
        <f>'Water Dec'!S9/1000</f>
        <v>0</v>
      </c>
      <c r="T9" s="672">
        <f>'Water Dec'!T9/1000</f>
        <v>0</v>
      </c>
      <c r="U9" s="672">
        <f>'Water Dec'!U9/1000</f>
        <v>0</v>
      </c>
      <c r="V9" s="624" t="str">
        <f t="shared" si="10"/>
        <v>MATCH</v>
      </c>
      <c r="W9" s="672">
        <f>'Water Dec'!W9/1000</f>
        <v>0</v>
      </c>
      <c r="X9" s="672">
        <f>'Water Dec'!X9/1000</f>
        <v>11013.885</v>
      </c>
      <c r="Y9" s="672">
        <f>'Water Dec'!Y9/1000</f>
        <v>3150.5632999999998</v>
      </c>
      <c r="Z9" s="672">
        <f>'Water Dec'!Z9/1000</f>
        <v>2393.328</v>
      </c>
      <c r="AA9" s="672">
        <f>'Water Dec'!AA9/1000</f>
        <v>591.27499999999998</v>
      </c>
      <c r="AB9" s="672">
        <f>'Water Dec'!AB9/1000</f>
        <v>0</v>
      </c>
      <c r="AC9" s="672">
        <f>'Water Dec'!AC9/1000</f>
        <v>1975.8050000000001</v>
      </c>
      <c r="AD9" s="672">
        <f>'Water Dec'!AD9/1000</f>
        <v>0</v>
      </c>
      <c r="AE9" s="672">
        <f>'Water Dec'!AE9/1000</f>
        <v>0</v>
      </c>
      <c r="AF9" s="672">
        <f>'Water Dec'!AF9/1000</f>
        <v>0</v>
      </c>
      <c r="AG9" s="672">
        <f>'Water Dec'!AG9/1000</f>
        <v>305.125</v>
      </c>
      <c r="AH9" s="672">
        <f>'Water Dec'!AH9/1000</f>
        <v>2872.2049999999999</v>
      </c>
      <c r="AI9" s="672" t="e">
        <f>'Water Dec'!AI9/1000</f>
        <v>#VALUE!</v>
      </c>
      <c r="AJ9" s="672">
        <f>'Water Dec'!AJ9/1000</f>
        <v>2872.2049999999999</v>
      </c>
      <c r="AK9" s="672">
        <f>'Water Dec'!AK9/1000</f>
        <v>0</v>
      </c>
      <c r="AL9" s="672">
        <f>'Water Dec'!AL9/1000</f>
        <v>0</v>
      </c>
      <c r="AM9" s="672">
        <f>'Water Dec'!AM9/1000</f>
        <v>0</v>
      </c>
      <c r="AN9" s="672">
        <f>'Water Dec'!AN9/1000</f>
        <v>0</v>
      </c>
      <c r="AO9" s="672">
        <f>'Water Dec'!AO9/1000</f>
        <v>0</v>
      </c>
      <c r="AP9" s="672">
        <f>'Water Dec'!AP9/1000</f>
        <v>0</v>
      </c>
      <c r="AQ9" s="672">
        <f>'Water Dec'!AQ9/1000</f>
        <v>0</v>
      </c>
      <c r="AR9" s="672">
        <f>'Water Dec'!AR9/1000</f>
        <v>0</v>
      </c>
      <c r="AS9" s="672">
        <f>'Water Dec'!AS9/1000</f>
        <v>2872.2049999999999</v>
      </c>
      <c r="AT9" s="672">
        <f>'Water Dec'!AT9/1000</f>
        <v>2670.2330000000002</v>
      </c>
      <c r="AU9" s="672">
        <f>'Water Dec'!AU9/1000</f>
        <v>70.236999999999995</v>
      </c>
      <c r="AV9" s="672">
        <f>'Water Dec'!AV9/1000</f>
        <v>1778.193</v>
      </c>
      <c r="AW9" s="672">
        <f>'Water Dec'!AW9/1000</f>
        <v>4518.6629999999996</v>
      </c>
      <c r="AX9" s="672">
        <f>'Water Dec'!AX9/1000</f>
        <v>0</v>
      </c>
      <c r="AY9" s="672">
        <f>'Water Dec'!AY9/1000</f>
        <v>0</v>
      </c>
      <c r="AZ9" s="672">
        <f>'Water Dec'!AZ9/1000</f>
        <v>0</v>
      </c>
      <c r="BA9" s="672">
        <f>'Water Dec'!BA9/1000</f>
        <v>0</v>
      </c>
      <c r="BB9" s="672">
        <f>'Water Dec'!BB9/1000</f>
        <v>4518.6629999999996</v>
      </c>
      <c r="BC9" s="672" t="e">
        <f>'Water Dec'!BC9/1000</f>
        <v>#VALUE!</v>
      </c>
      <c r="BD9" s="672">
        <f>'Water Dec'!BD9/1000</f>
        <v>4518.6629999999996</v>
      </c>
      <c r="BE9" s="672">
        <f>'Water Dec'!BE9/1000</f>
        <v>28298.041000000001</v>
      </c>
      <c r="BF9" s="672">
        <f>'Water Dec'!BF9/1000</f>
        <v>20121.774000000001</v>
      </c>
      <c r="BG9" s="673">
        <f>BF9/BE9</f>
        <v>0.71106597096244228</v>
      </c>
      <c r="BH9" s="633">
        <f t="shared" si="16"/>
        <v>1.5801843615494977E-2</v>
      </c>
      <c r="BI9" s="674">
        <f t="shared" si="6"/>
        <v>2.1944381350866705E-3</v>
      </c>
      <c r="BJ9" s="633">
        <f>BD9/BL9</f>
        <v>6.4830172166427539E-3</v>
      </c>
      <c r="BK9" s="675">
        <f>BD9/BN9</f>
        <v>9.0031141661685581E-4</v>
      </c>
      <c r="BL9" s="676">
        <f>ROUND('Water Dec'!BL9,-3)</f>
        <v>697000</v>
      </c>
      <c r="BM9" s="676">
        <f>ROUND('Water Dec'!BM9,-3)</f>
        <v>0</v>
      </c>
      <c r="BN9" s="676">
        <f>ROUND('Water Dec'!BN9,-3)</f>
        <v>5019000</v>
      </c>
      <c r="BO9" s="636" t="s">
        <v>458</v>
      </c>
      <c r="BP9" s="637" t="s">
        <v>459</v>
      </c>
      <c r="BQ9" s="637" t="s">
        <v>460</v>
      </c>
      <c r="BR9" s="637" t="s">
        <v>461</v>
      </c>
      <c r="BS9" s="637" t="s">
        <v>462</v>
      </c>
      <c r="BT9" s="637" t="s">
        <v>463</v>
      </c>
      <c r="BU9" s="637" t="s">
        <v>464</v>
      </c>
      <c r="BV9" s="637" t="s">
        <v>465</v>
      </c>
      <c r="BW9" s="637" t="s">
        <v>466</v>
      </c>
      <c r="BX9" s="637" t="s">
        <v>467</v>
      </c>
      <c r="BY9" s="637" t="s">
        <v>468</v>
      </c>
      <c r="BZ9" s="637" t="s">
        <v>469</v>
      </c>
      <c r="CA9" s="637" t="s">
        <v>470</v>
      </c>
      <c r="CB9" s="638" t="s">
        <v>468</v>
      </c>
    </row>
    <row r="10" spans="1:82" ht="14.25" hidden="1" customHeight="1" x14ac:dyDescent="0.35">
      <c r="A10" s="671" t="s">
        <v>353</v>
      </c>
      <c r="B10" s="672">
        <f>'Water Dec'!B10/1000</f>
        <v>0</v>
      </c>
      <c r="C10" s="672">
        <f>'Water Dec'!C10/1000</f>
        <v>0</v>
      </c>
      <c r="D10" s="672">
        <f>'Water Dec'!D10/1000</f>
        <v>0</v>
      </c>
      <c r="E10" s="672">
        <f>'Water Dec'!E10/1000</f>
        <v>0</v>
      </c>
      <c r="F10" s="672">
        <f>'Water Dec'!F10/1000</f>
        <v>0</v>
      </c>
      <c r="G10" s="672">
        <f>'Water Dec'!G10/1000</f>
        <v>0</v>
      </c>
      <c r="H10" s="672">
        <f>'Water Dec'!H10/1000</f>
        <v>0</v>
      </c>
      <c r="I10" s="672">
        <f>'Water Dec'!I10/1000</f>
        <v>0</v>
      </c>
      <c r="J10" s="672">
        <f>'Water Dec'!J10/1000</f>
        <v>0</v>
      </c>
      <c r="K10" s="639" t="str">
        <f t="shared" si="15"/>
        <v>MATCH</v>
      </c>
      <c r="L10" s="672">
        <f>'Water Dec'!L10/1000</f>
        <v>0</v>
      </c>
      <c r="M10" s="672">
        <f>'Water Dec'!M10/1000</f>
        <v>0</v>
      </c>
      <c r="N10" s="672">
        <f>'Water Dec'!N10/1000</f>
        <v>0</v>
      </c>
      <c r="O10" s="672">
        <f>'Water Dec'!O10/1000</f>
        <v>0</v>
      </c>
      <c r="P10" s="672">
        <f>'Water Dec'!P10/1000</f>
        <v>0</v>
      </c>
      <c r="Q10" s="672">
        <f>'Water Dec'!Q10/1000</f>
        <v>0</v>
      </c>
      <c r="R10" s="672">
        <f>'Water Dec'!R10/1000</f>
        <v>0</v>
      </c>
      <c r="S10" s="672">
        <f>'Water Dec'!S10/1000</f>
        <v>0</v>
      </c>
      <c r="T10" s="672">
        <f>'Water Dec'!T10/1000</f>
        <v>0</v>
      </c>
      <c r="U10" s="672">
        <f>'Water Dec'!U10/1000</f>
        <v>0</v>
      </c>
      <c r="V10" s="624" t="str">
        <f t="shared" si="10"/>
        <v>MATCH</v>
      </c>
      <c r="W10" s="672">
        <f>'Water Dec'!W10/1000</f>
        <v>0</v>
      </c>
      <c r="X10" s="672">
        <f>'Water Dec'!X10/1000</f>
        <v>0</v>
      </c>
      <c r="Y10" s="672">
        <f>'Water Dec'!Y10/1000</f>
        <v>0</v>
      </c>
      <c r="Z10" s="672">
        <f>'Water Dec'!Z10/1000</f>
        <v>0</v>
      </c>
      <c r="AA10" s="672">
        <f>'Water Dec'!AA10/1000</f>
        <v>0</v>
      </c>
      <c r="AB10" s="672">
        <f>'Water Dec'!AB10/1000</f>
        <v>0</v>
      </c>
      <c r="AC10" s="672">
        <f>'Water Dec'!AC10/1000</f>
        <v>0</v>
      </c>
      <c r="AD10" s="672">
        <f>'Water Dec'!AD10/1000</f>
        <v>0</v>
      </c>
      <c r="AE10" s="672">
        <f>'Water Dec'!AE10/1000</f>
        <v>0</v>
      </c>
      <c r="AF10" s="672">
        <f>'Water Dec'!AF10/1000</f>
        <v>0</v>
      </c>
      <c r="AG10" s="672">
        <f>'Water Dec'!AG10/1000</f>
        <v>0</v>
      </c>
      <c r="AH10" s="672">
        <f>'Water Dec'!AH10/1000</f>
        <v>0</v>
      </c>
      <c r="AI10" s="672" t="e">
        <f>'Water Dec'!AI10/1000</f>
        <v>#VALUE!</v>
      </c>
      <c r="AJ10" s="672">
        <f>'Water Dec'!AJ10/1000</f>
        <v>0</v>
      </c>
      <c r="AK10" s="672">
        <f>'Water Dec'!AK10/1000</f>
        <v>0</v>
      </c>
      <c r="AL10" s="672">
        <f>'Water Dec'!AL10/1000</f>
        <v>0</v>
      </c>
      <c r="AM10" s="672">
        <f>'Water Dec'!AM10/1000</f>
        <v>0</v>
      </c>
      <c r="AN10" s="672">
        <f>'Water Dec'!AN10/1000</f>
        <v>0</v>
      </c>
      <c r="AO10" s="672">
        <f>'Water Dec'!AO10/1000</f>
        <v>0</v>
      </c>
      <c r="AP10" s="672">
        <f>'Water Dec'!AP10/1000</f>
        <v>0</v>
      </c>
      <c r="AQ10" s="672">
        <f>'Water Dec'!AQ10/1000</f>
        <v>0</v>
      </c>
      <c r="AR10" s="672">
        <f>'Water Dec'!AR10/1000</f>
        <v>0</v>
      </c>
      <c r="AS10" s="672">
        <f>'Water Dec'!AS10/1000</f>
        <v>0</v>
      </c>
      <c r="AT10" s="672">
        <f>'Water Dec'!AT10/1000</f>
        <v>0</v>
      </c>
      <c r="AU10" s="672">
        <f>'Water Dec'!AU10/1000</f>
        <v>0</v>
      </c>
      <c r="AV10" s="672">
        <f>'Water Dec'!AV10/1000</f>
        <v>0</v>
      </c>
      <c r="AW10" s="672">
        <f>'Water Dec'!AW10/1000</f>
        <v>0</v>
      </c>
      <c r="AX10" s="672">
        <f>'Water Dec'!AX10/1000</f>
        <v>0</v>
      </c>
      <c r="AY10" s="672">
        <f>'Water Dec'!AY10/1000</f>
        <v>0</v>
      </c>
      <c r="AZ10" s="672">
        <f>'Water Dec'!AZ10/1000</f>
        <v>0</v>
      </c>
      <c r="BA10" s="672">
        <f>'Water Dec'!BA10/1000</f>
        <v>0</v>
      </c>
      <c r="BB10" s="672">
        <f>'Water Dec'!BB10/1000</f>
        <v>0</v>
      </c>
      <c r="BC10" s="672" t="e">
        <f>'Water Dec'!BC10/1000</f>
        <v>#VALUE!</v>
      </c>
      <c r="BD10" s="672">
        <f>'Water Dec'!BD10/1000</f>
        <v>0</v>
      </c>
      <c r="BE10" s="672">
        <f>'Water Dec'!BE10/1000</f>
        <v>0</v>
      </c>
      <c r="BF10" s="672">
        <f>'Water Dec'!BF10/1000</f>
        <v>0</v>
      </c>
      <c r="BG10" s="677" t="e">
        <f t="shared" si="26"/>
        <v>#DIV/0!</v>
      </c>
      <c r="BH10" s="633" t="e">
        <f t="shared" si="16"/>
        <v>#DIV/0!</v>
      </c>
      <c r="BI10" s="674" t="e">
        <f t="shared" si="6"/>
        <v>#DIV/0!</v>
      </c>
      <c r="BJ10" s="633" t="e">
        <f t="shared" ref="BJ10:BJ19" si="36">BD10/BL10</f>
        <v>#DIV/0!</v>
      </c>
      <c r="BK10" s="675" t="e">
        <f t="shared" ref="BK10:BK22" si="37">BD10/BN10</f>
        <v>#DIV/0!</v>
      </c>
      <c r="BL10" s="676">
        <f>ROUND('Water Dec'!BL10,-3)</f>
        <v>0</v>
      </c>
      <c r="BM10" s="676">
        <f>ROUND('Water Dec'!BM10,-3)</f>
        <v>0</v>
      </c>
      <c r="BN10" s="676">
        <f>ROUND('Water Dec'!BN10,-3)</f>
        <v>0</v>
      </c>
      <c r="BO10" s="636" t="s">
        <v>471</v>
      </c>
      <c r="BP10" s="637" t="s">
        <v>472</v>
      </c>
      <c r="BQ10" s="637" t="s">
        <v>473</v>
      </c>
      <c r="BR10" s="637" t="s">
        <v>474</v>
      </c>
      <c r="BS10" s="637"/>
      <c r="BT10" s="637" t="s">
        <v>463</v>
      </c>
      <c r="BU10" s="637" t="s">
        <v>464</v>
      </c>
      <c r="BV10" s="637" t="s">
        <v>463</v>
      </c>
      <c r="BW10" s="637" t="s">
        <v>466</v>
      </c>
      <c r="BX10" s="637" t="s">
        <v>475</v>
      </c>
      <c r="BY10" s="637" t="s">
        <v>468</v>
      </c>
      <c r="BZ10" s="637" t="s">
        <v>476</v>
      </c>
      <c r="CA10" s="637" t="s">
        <v>470</v>
      </c>
      <c r="CB10" s="638" t="s">
        <v>468</v>
      </c>
    </row>
    <row r="11" spans="1:82" ht="14.25" customHeight="1" x14ac:dyDescent="0.35">
      <c r="A11" s="655" t="s">
        <v>354</v>
      </c>
      <c r="B11" s="656">
        <f t="shared" ref="B11:I11" si="38">B12</f>
        <v>3261.61</v>
      </c>
      <c r="C11" s="657">
        <f t="shared" si="38"/>
        <v>959.73</v>
      </c>
      <c r="D11" s="657">
        <f t="shared" si="38"/>
        <v>0</v>
      </c>
      <c r="E11" s="657">
        <f t="shared" si="38"/>
        <v>269.39999999999998</v>
      </c>
      <c r="F11" s="657">
        <f t="shared" si="38"/>
        <v>0</v>
      </c>
      <c r="G11" s="657">
        <f t="shared" si="38"/>
        <v>0</v>
      </c>
      <c r="H11" s="657">
        <f t="shared" si="38"/>
        <v>0</v>
      </c>
      <c r="I11" s="657">
        <f t="shared" si="38"/>
        <v>0</v>
      </c>
      <c r="J11" s="639">
        <f t="shared" si="19"/>
        <v>4490.74</v>
      </c>
      <c r="K11" s="639" t="str">
        <f t="shared" si="15"/>
        <v>MATCH</v>
      </c>
      <c r="L11" s="639">
        <f t="shared" ref="L11:AG11" si="39">L12</f>
        <v>4490.74</v>
      </c>
      <c r="M11" s="656">
        <f t="shared" si="39"/>
        <v>0</v>
      </c>
      <c r="N11" s="658">
        <f t="shared" si="39"/>
        <v>0</v>
      </c>
      <c r="O11" s="658">
        <f t="shared" si="39"/>
        <v>0</v>
      </c>
      <c r="P11" s="658">
        <f t="shared" si="39"/>
        <v>0</v>
      </c>
      <c r="Q11" s="658">
        <f t="shared" si="39"/>
        <v>0</v>
      </c>
      <c r="R11" s="658">
        <f t="shared" si="39"/>
        <v>0</v>
      </c>
      <c r="S11" s="658">
        <f t="shared" si="39"/>
        <v>0</v>
      </c>
      <c r="T11" s="658">
        <f t="shared" si="39"/>
        <v>0</v>
      </c>
      <c r="U11" s="639">
        <f t="shared" ref="U11:U50" si="40">SUM(M11:T11)</f>
        <v>0</v>
      </c>
      <c r="V11" s="624" t="str">
        <f t="shared" si="10"/>
        <v>MATCH</v>
      </c>
      <c r="W11" s="659">
        <f t="shared" si="39"/>
        <v>0</v>
      </c>
      <c r="X11" s="659">
        <f t="shared" si="39"/>
        <v>4490.74</v>
      </c>
      <c r="Y11" s="660">
        <f t="shared" si="39"/>
        <v>904.75099999999998</v>
      </c>
      <c r="Z11" s="661">
        <f t="shared" si="39"/>
        <v>42073.442000000003</v>
      </c>
      <c r="AA11" s="656">
        <f t="shared" si="39"/>
        <v>695.947</v>
      </c>
      <c r="AB11" s="657">
        <f t="shared" si="39"/>
        <v>0</v>
      </c>
      <c r="AC11" s="657">
        <f t="shared" si="39"/>
        <v>879.56700000000001</v>
      </c>
      <c r="AD11" s="657">
        <f t="shared" si="39"/>
        <v>0</v>
      </c>
      <c r="AE11" s="657">
        <f t="shared" si="39"/>
        <v>0</v>
      </c>
      <c r="AF11" s="657">
        <f t="shared" si="39"/>
        <v>0</v>
      </c>
      <c r="AG11" s="657">
        <f t="shared" si="39"/>
        <v>110.056</v>
      </c>
      <c r="AH11" s="639">
        <f t="shared" si="12"/>
        <v>1685.5700000000002</v>
      </c>
      <c r="AI11" s="639" t="str">
        <f t="shared" si="23"/>
        <v>MATCH</v>
      </c>
      <c r="AJ11" s="662">
        <f t="shared" ref="AJ11:BF11" si="41">AJ12</f>
        <v>1685.57</v>
      </c>
      <c r="AK11" s="656">
        <f t="shared" si="41"/>
        <v>0</v>
      </c>
      <c r="AL11" s="657">
        <f t="shared" si="41"/>
        <v>0</v>
      </c>
      <c r="AM11" s="657">
        <f t="shared" si="41"/>
        <v>0</v>
      </c>
      <c r="AN11" s="657">
        <f t="shared" si="41"/>
        <v>0</v>
      </c>
      <c r="AO11" s="657">
        <f t="shared" si="41"/>
        <v>0</v>
      </c>
      <c r="AP11" s="657">
        <f t="shared" si="41"/>
        <v>0</v>
      </c>
      <c r="AQ11" s="657">
        <f t="shared" si="41"/>
        <v>0</v>
      </c>
      <c r="AR11" s="662">
        <f t="shared" si="41"/>
        <v>0</v>
      </c>
      <c r="AS11" s="663">
        <f t="shared" si="4"/>
        <v>1685.57</v>
      </c>
      <c r="AT11" s="656">
        <f t="shared" ref="AT11:AZ11" si="42">AT12</f>
        <v>1466.8682099474277</v>
      </c>
      <c r="AU11" s="657">
        <f t="shared" si="42"/>
        <v>69.159000000000006</v>
      </c>
      <c r="AV11" s="657">
        <f t="shared" si="42"/>
        <v>364.07</v>
      </c>
      <c r="AW11" s="657">
        <f t="shared" si="32"/>
        <v>1900.0972099474277</v>
      </c>
      <c r="AX11" s="657">
        <f t="shared" si="42"/>
        <v>0</v>
      </c>
      <c r="AY11" s="657">
        <f t="shared" si="42"/>
        <v>0</v>
      </c>
      <c r="AZ11" s="657">
        <f t="shared" si="42"/>
        <v>0</v>
      </c>
      <c r="BA11" s="657">
        <f t="shared" si="33"/>
        <v>0</v>
      </c>
      <c r="BB11" s="639">
        <f t="shared" si="14"/>
        <v>1900.0972099474277</v>
      </c>
      <c r="BC11" s="639" t="str">
        <f t="shared" si="25"/>
        <v>MATCH</v>
      </c>
      <c r="BD11" s="662">
        <f t="shared" si="41"/>
        <v>1900.0972099474277</v>
      </c>
      <c r="BE11" s="663">
        <f t="shared" si="41"/>
        <v>6217.085</v>
      </c>
      <c r="BF11" s="660">
        <f t="shared" si="41"/>
        <v>4979.2790000000005</v>
      </c>
      <c r="BG11" s="664">
        <f t="shared" si="26"/>
        <v>0.80090251299443393</v>
      </c>
      <c r="BH11" s="665">
        <f t="shared" si="16"/>
        <v>2.1590096153846154E-2</v>
      </c>
      <c r="BI11" s="666">
        <f t="shared" si="6"/>
        <v>1.03140560404226E-3</v>
      </c>
      <c r="BJ11" s="665">
        <f t="shared" si="36"/>
        <v>9.1350827401318647E-3</v>
      </c>
      <c r="BK11" s="667">
        <f t="shared" si="37"/>
        <v>4.3640266650147626E-4</v>
      </c>
      <c r="BL11" s="668">
        <f>BL12</f>
        <v>208000</v>
      </c>
      <c r="BM11" s="669">
        <f t="shared" ref="BM11:BN11" si="43">BM12</f>
        <v>0</v>
      </c>
      <c r="BN11" s="670">
        <f t="shared" si="43"/>
        <v>4354000</v>
      </c>
      <c r="BO11" s="636"/>
      <c r="BP11" s="637"/>
      <c r="BQ11" s="637"/>
      <c r="BR11" s="637"/>
      <c r="BS11" s="637"/>
      <c r="BT11" s="637"/>
      <c r="BU11" s="637"/>
      <c r="BV11" s="637"/>
      <c r="BW11" s="637"/>
      <c r="BX11" s="637"/>
      <c r="BY11" s="637"/>
      <c r="BZ11" s="637"/>
      <c r="CA11" s="637"/>
      <c r="CB11" s="638"/>
    </row>
    <row r="12" spans="1:82" ht="14.25" customHeight="1" x14ac:dyDescent="0.35">
      <c r="A12" s="671" t="s">
        <v>355</v>
      </c>
      <c r="B12" s="672">
        <f>'Water Dec'!B12/1000</f>
        <v>3261.61</v>
      </c>
      <c r="C12" s="672">
        <f>'Water Dec'!C12/1000</f>
        <v>959.73</v>
      </c>
      <c r="D12" s="672">
        <f>'Water Dec'!D12/1000</f>
        <v>0</v>
      </c>
      <c r="E12" s="672">
        <f>'Water Dec'!E12/1000</f>
        <v>269.39999999999998</v>
      </c>
      <c r="F12" s="672">
        <f>'Water Dec'!F12/1000</f>
        <v>0</v>
      </c>
      <c r="G12" s="672">
        <f>'Water Dec'!G12/1000</f>
        <v>0</v>
      </c>
      <c r="H12" s="672">
        <f>'Water Dec'!H12/1000</f>
        <v>0</v>
      </c>
      <c r="I12" s="672">
        <f>'Water Dec'!I12/1000</f>
        <v>0</v>
      </c>
      <c r="J12" s="672">
        <f>'Water Dec'!J12/1000</f>
        <v>4490.74</v>
      </c>
      <c r="K12" s="639" t="str">
        <f t="shared" si="15"/>
        <v>MATCH</v>
      </c>
      <c r="L12" s="672">
        <f>'Water Dec'!L12/1000</f>
        <v>4490.74</v>
      </c>
      <c r="M12" s="672">
        <f>'Water Dec'!M12/1000</f>
        <v>0</v>
      </c>
      <c r="N12" s="672">
        <f>'Water Dec'!N12/1000</f>
        <v>0</v>
      </c>
      <c r="O12" s="672">
        <f>'Water Dec'!O12/1000</f>
        <v>0</v>
      </c>
      <c r="P12" s="672">
        <f>'Water Dec'!P12/1000</f>
        <v>0</v>
      </c>
      <c r="Q12" s="672">
        <f>'Water Dec'!Q12/1000</f>
        <v>0</v>
      </c>
      <c r="R12" s="672">
        <f>'Water Dec'!R12/1000</f>
        <v>0</v>
      </c>
      <c r="S12" s="672">
        <f>'Water Dec'!S12/1000</f>
        <v>0</v>
      </c>
      <c r="T12" s="672">
        <f>'Water Dec'!T12/1000</f>
        <v>0</v>
      </c>
      <c r="U12" s="672">
        <f>'Water Dec'!U12/1000</f>
        <v>0</v>
      </c>
      <c r="V12" s="624" t="str">
        <f t="shared" si="10"/>
        <v>MATCH</v>
      </c>
      <c r="W12" s="672">
        <f>'Water Dec'!W12/1000</f>
        <v>0</v>
      </c>
      <c r="X12" s="672">
        <f>'Water Dec'!X12/1000</f>
        <v>4490.74</v>
      </c>
      <c r="Y12" s="672">
        <f>'Water Dec'!Y12/1000</f>
        <v>904.75099999999998</v>
      </c>
      <c r="Z12" s="672">
        <f>'Water Dec'!Z12/1000</f>
        <v>42073.442000000003</v>
      </c>
      <c r="AA12" s="672">
        <f>'Water Dec'!AA12/1000</f>
        <v>695.947</v>
      </c>
      <c r="AB12" s="672">
        <f>'Water Dec'!AB12/1000</f>
        <v>0</v>
      </c>
      <c r="AC12" s="672">
        <f>'Water Dec'!AC12/1000</f>
        <v>879.56700000000001</v>
      </c>
      <c r="AD12" s="672">
        <f>'Water Dec'!AD12/1000</f>
        <v>0</v>
      </c>
      <c r="AE12" s="672">
        <f>'Water Dec'!AE12/1000</f>
        <v>0</v>
      </c>
      <c r="AF12" s="672">
        <f>'Water Dec'!AF12/1000</f>
        <v>0</v>
      </c>
      <c r="AG12" s="672">
        <f>'Water Dec'!AG12/1000</f>
        <v>110.056</v>
      </c>
      <c r="AH12" s="672">
        <f>'Water Dec'!AH12/1000</f>
        <v>1685.57</v>
      </c>
      <c r="AI12" s="672" t="e">
        <f>'Water Dec'!AI12/1000</f>
        <v>#VALUE!</v>
      </c>
      <c r="AJ12" s="672">
        <f>'Water Dec'!AJ12/1000</f>
        <v>1685.57</v>
      </c>
      <c r="AK12" s="672">
        <f>'Water Dec'!AK12/1000</f>
        <v>0</v>
      </c>
      <c r="AL12" s="672">
        <f>'Water Dec'!AL12/1000</f>
        <v>0</v>
      </c>
      <c r="AM12" s="672">
        <f>'Water Dec'!AM12/1000</f>
        <v>0</v>
      </c>
      <c r="AN12" s="672">
        <f>'Water Dec'!AN12/1000</f>
        <v>0</v>
      </c>
      <c r="AO12" s="672">
        <f>'Water Dec'!AO12/1000</f>
        <v>0</v>
      </c>
      <c r="AP12" s="672">
        <f>'Water Dec'!AP12/1000</f>
        <v>0</v>
      </c>
      <c r="AQ12" s="672">
        <f>'Water Dec'!AQ12/1000</f>
        <v>0</v>
      </c>
      <c r="AR12" s="672">
        <f>'Water Dec'!AR12/1000</f>
        <v>0</v>
      </c>
      <c r="AS12" s="672">
        <f>'Water Dec'!AS12/1000</f>
        <v>1685.57</v>
      </c>
      <c r="AT12" s="672">
        <f>'Water Dec'!AT12/1000</f>
        <v>1466.8682099474277</v>
      </c>
      <c r="AU12" s="672">
        <f>'Water Dec'!AU12/1000</f>
        <v>69.159000000000006</v>
      </c>
      <c r="AV12" s="672">
        <f>'Water Dec'!AV12/1000</f>
        <v>364.07</v>
      </c>
      <c r="AW12" s="672">
        <f>'Water Dec'!AW12/1000</f>
        <v>1900.0972099474277</v>
      </c>
      <c r="AX12" s="672">
        <f>'Water Dec'!AX12/1000</f>
        <v>0</v>
      </c>
      <c r="AY12" s="672">
        <f>'Water Dec'!AY12/1000</f>
        <v>0</v>
      </c>
      <c r="AZ12" s="672">
        <f>'Water Dec'!AZ12/1000</f>
        <v>0</v>
      </c>
      <c r="BA12" s="672">
        <f>'Water Dec'!BA12/1000</f>
        <v>0</v>
      </c>
      <c r="BB12" s="672">
        <f>'Water Dec'!BB12/1000</f>
        <v>1900.0972099474277</v>
      </c>
      <c r="BC12" s="672" t="e">
        <f>'Water Dec'!BC12/1000</f>
        <v>#VALUE!</v>
      </c>
      <c r="BD12" s="672">
        <f>'Water Dec'!BD12/1000</f>
        <v>1900.0972099474277</v>
      </c>
      <c r="BE12" s="672">
        <f>'Water Dec'!BE12/1000</f>
        <v>6217.085</v>
      </c>
      <c r="BF12" s="672">
        <f>'Water Dec'!BF12/1000</f>
        <v>4979.2790000000005</v>
      </c>
      <c r="BG12" s="677">
        <f t="shared" si="26"/>
        <v>0.80090251299443393</v>
      </c>
      <c r="BH12" s="633">
        <f t="shared" si="16"/>
        <v>2.1590096153846154E-2</v>
      </c>
      <c r="BI12" s="674">
        <f t="shared" si="6"/>
        <v>1.03140560404226E-3</v>
      </c>
      <c r="BJ12" s="633">
        <f t="shared" si="36"/>
        <v>9.1350827401318647E-3</v>
      </c>
      <c r="BK12" s="675">
        <f t="shared" si="37"/>
        <v>4.3640266650147626E-4</v>
      </c>
      <c r="BL12" s="676">
        <f>ROUND('Water Dec'!BL12,-3)</f>
        <v>208000</v>
      </c>
      <c r="BM12" s="676">
        <f>ROUND('Water Dec'!BM12,-3)</f>
        <v>0</v>
      </c>
      <c r="BN12" s="676">
        <f>ROUND('Water Dec'!BN12,-3)</f>
        <v>4354000</v>
      </c>
      <c r="BO12" s="636" t="s">
        <v>477</v>
      </c>
      <c r="BP12" s="637" t="s">
        <v>478</v>
      </c>
      <c r="BQ12" s="637" t="s">
        <v>479</v>
      </c>
      <c r="BR12" s="637" t="s">
        <v>474</v>
      </c>
      <c r="BS12" s="637" t="s">
        <v>480</v>
      </c>
      <c r="BT12" s="637" t="s">
        <v>463</v>
      </c>
      <c r="BU12" s="637" t="s">
        <v>464</v>
      </c>
      <c r="BV12" s="637" t="s">
        <v>465</v>
      </c>
      <c r="BW12" s="637" t="s">
        <v>475</v>
      </c>
      <c r="BX12" s="637" t="s">
        <v>467</v>
      </c>
      <c r="BY12" s="637" t="s">
        <v>468</v>
      </c>
      <c r="BZ12" s="637" t="s">
        <v>481</v>
      </c>
      <c r="CA12" s="637" t="s">
        <v>470</v>
      </c>
      <c r="CB12" s="638" t="s">
        <v>468</v>
      </c>
    </row>
    <row r="13" spans="1:82" ht="14.25" customHeight="1" x14ac:dyDescent="0.35">
      <c r="A13" s="655" t="s">
        <v>356</v>
      </c>
      <c r="B13" s="656">
        <f t="shared" ref="B13:I13" si="44">B14</f>
        <v>11823.433999999999</v>
      </c>
      <c r="C13" s="657">
        <f t="shared" si="44"/>
        <v>2577.3150000000001</v>
      </c>
      <c r="D13" s="657">
        <f t="shared" si="44"/>
        <v>0</v>
      </c>
      <c r="E13" s="657">
        <f>E14</f>
        <v>590.15200000000004</v>
      </c>
      <c r="F13" s="657">
        <f t="shared" si="44"/>
        <v>239.56200000000001</v>
      </c>
      <c r="G13" s="657">
        <f t="shared" si="44"/>
        <v>0</v>
      </c>
      <c r="H13" s="657">
        <f t="shared" si="44"/>
        <v>0</v>
      </c>
      <c r="I13" s="657">
        <f t="shared" si="44"/>
        <v>0</v>
      </c>
      <c r="J13" s="639">
        <f t="shared" si="19"/>
        <v>15230.463</v>
      </c>
      <c r="K13" s="639" t="str">
        <f t="shared" si="15"/>
        <v>MATCH</v>
      </c>
      <c r="L13" s="639">
        <f t="shared" ref="L13:BF13" si="45">L14</f>
        <v>15230.462869999999</v>
      </c>
      <c r="M13" s="656">
        <f t="shared" si="45"/>
        <v>0</v>
      </c>
      <c r="N13" s="658">
        <f t="shared" si="45"/>
        <v>0</v>
      </c>
      <c r="O13" s="658">
        <f t="shared" si="45"/>
        <v>0</v>
      </c>
      <c r="P13" s="658">
        <f t="shared" si="45"/>
        <v>0</v>
      </c>
      <c r="Q13" s="658">
        <f t="shared" si="45"/>
        <v>0</v>
      </c>
      <c r="R13" s="658">
        <f t="shared" si="45"/>
        <v>0</v>
      </c>
      <c r="S13" s="658">
        <f t="shared" si="45"/>
        <v>0</v>
      </c>
      <c r="T13" s="658">
        <f t="shared" si="45"/>
        <v>0</v>
      </c>
      <c r="U13" s="639">
        <f t="shared" si="40"/>
        <v>0</v>
      </c>
      <c r="V13" s="624" t="str">
        <f t="shared" si="10"/>
        <v>MATCH</v>
      </c>
      <c r="W13" s="659">
        <f t="shared" si="45"/>
        <v>0</v>
      </c>
      <c r="X13" s="659">
        <f t="shared" si="45"/>
        <v>15230.462869999999</v>
      </c>
      <c r="Y13" s="660">
        <f t="shared" si="45"/>
        <v>-644.02397999999994</v>
      </c>
      <c r="Z13" s="661">
        <f t="shared" si="45"/>
        <v>31364.763629999998</v>
      </c>
      <c r="AA13" s="656">
        <f t="shared" si="45"/>
        <v>13027.30445</v>
      </c>
      <c r="AB13" s="657">
        <f t="shared" si="45"/>
        <v>0</v>
      </c>
      <c r="AC13" s="657">
        <f t="shared" si="45"/>
        <v>1115.4839999999999</v>
      </c>
      <c r="AD13" s="657">
        <f t="shared" si="45"/>
        <v>0</v>
      </c>
      <c r="AE13" s="657">
        <f t="shared" si="45"/>
        <v>0</v>
      </c>
      <c r="AF13" s="657">
        <f t="shared" si="45"/>
        <v>0</v>
      </c>
      <c r="AG13" s="657">
        <f t="shared" si="45"/>
        <v>0</v>
      </c>
      <c r="AH13" s="639">
        <f t="shared" si="12"/>
        <v>14142.78845</v>
      </c>
      <c r="AI13" s="639" t="str">
        <f t="shared" si="23"/>
        <v>MATCH</v>
      </c>
      <c r="AJ13" s="662">
        <f t="shared" si="45"/>
        <v>14142.78845</v>
      </c>
      <c r="AK13" s="656">
        <f t="shared" si="45"/>
        <v>0</v>
      </c>
      <c r="AL13" s="657">
        <f t="shared" si="45"/>
        <v>0</v>
      </c>
      <c r="AM13" s="657">
        <f t="shared" si="45"/>
        <v>0</v>
      </c>
      <c r="AN13" s="657">
        <f t="shared" si="45"/>
        <v>0</v>
      </c>
      <c r="AO13" s="657">
        <f t="shared" si="45"/>
        <v>0</v>
      </c>
      <c r="AP13" s="657">
        <f t="shared" si="45"/>
        <v>0</v>
      </c>
      <c r="AQ13" s="657">
        <f t="shared" si="45"/>
        <v>0</v>
      </c>
      <c r="AR13" s="662">
        <f t="shared" si="45"/>
        <v>0</v>
      </c>
      <c r="AS13" s="663">
        <f t="shared" si="4"/>
        <v>14142.78845</v>
      </c>
      <c r="AT13" s="656">
        <f t="shared" ref="AT13:AZ13" si="46">AT14</f>
        <v>1797.9570800000001</v>
      </c>
      <c r="AU13" s="657">
        <f t="shared" si="46"/>
        <v>102.96263999999999</v>
      </c>
      <c r="AV13" s="657">
        <f t="shared" si="46"/>
        <v>490.18988000000002</v>
      </c>
      <c r="AW13" s="657">
        <f t="shared" si="32"/>
        <v>2391.1096000000002</v>
      </c>
      <c r="AX13" s="657">
        <f t="shared" si="46"/>
        <v>0</v>
      </c>
      <c r="AY13" s="657">
        <f t="shared" si="46"/>
        <v>0</v>
      </c>
      <c r="AZ13" s="657">
        <f t="shared" si="46"/>
        <v>0</v>
      </c>
      <c r="BA13" s="657">
        <f t="shared" si="33"/>
        <v>0</v>
      </c>
      <c r="BB13" s="639">
        <f t="shared" si="14"/>
        <v>2391.1096000000002</v>
      </c>
      <c r="BC13" s="639" t="str">
        <f t="shared" si="25"/>
        <v>MATCH</v>
      </c>
      <c r="BD13" s="662">
        <f t="shared" si="45"/>
        <v>2391.1096000000002</v>
      </c>
      <c r="BE13" s="659">
        <f t="shared" si="45"/>
        <v>31366.06119</v>
      </c>
      <c r="BF13" s="660">
        <f t="shared" si="45"/>
        <v>24662.731</v>
      </c>
      <c r="BG13" s="664">
        <f>BF13/BE13</f>
        <v>0.78628715446945796</v>
      </c>
      <c r="BH13" s="665">
        <f t="shared" si="16"/>
        <v>1.8664782928921569E-2</v>
      </c>
      <c r="BI13" s="666">
        <f t="shared" si="6"/>
        <v>2.0938222257354962E-3</v>
      </c>
      <c r="BJ13" s="665">
        <f t="shared" si="36"/>
        <v>2.9302813725490197E-3</v>
      </c>
      <c r="BK13" s="667">
        <f t="shared" si="37"/>
        <v>3.287200439923014E-4</v>
      </c>
      <c r="BL13" s="668">
        <f>BL14</f>
        <v>816000</v>
      </c>
      <c r="BM13" s="669">
        <f t="shared" ref="BM13:BN13" si="47">BM14</f>
        <v>0</v>
      </c>
      <c r="BN13" s="670">
        <f t="shared" si="47"/>
        <v>7274000</v>
      </c>
      <c r="BO13" s="636"/>
      <c r="BP13" s="637"/>
      <c r="BQ13" s="637"/>
      <c r="BR13" s="637"/>
      <c r="BS13" s="637"/>
      <c r="BT13" s="637"/>
      <c r="BU13" s="637"/>
      <c r="BV13" s="637"/>
      <c r="BW13" s="637"/>
      <c r="BX13" s="637"/>
      <c r="BY13" s="637"/>
      <c r="BZ13" s="637"/>
      <c r="CA13" s="637"/>
      <c r="CB13" s="638"/>
    </row>
    <row r="14" spans="1:82" ht="14.25" customHeight="1" x14ac:dyDescent="0.35">
      <c r="A14" s="671" t="s">
        <v>357</v>
      </c>
      <c r="B14" s="672">
        <f>'Water Dec'!B14/1000</f>
        <v>11823.433999999999</v>
      </c>
      <c r="C14" s="672">
        <f>'Water Dec'!C14/1000</f>
        <v>2577.3150000000001</v>
      </c>
      <c r="D14" s="672">
        <f>'Water Dec'!D14/1000</f>
        <v>0</v>
      </c>
      <c r="E14" s="672">
        <f>'Water Dec'!E14/1000</f>
        <v>590.15200000000004</v>
      </c>
      <c r="F14" s="672">
        <f>'Water Dec'!F14/1000</f>
        <v>239.56200000000001</v>
      </c>
      <c r="G14" s="672">
        <f>'Water Dec'!G14/1000</f>
        <v>0</v>
      </c>
      <c r="H14" s="672">
        <f>'Water Dec'!H14/1000</f>
        <v>0</v>
      </c>
      <c r="I14" s="672">
        <f>'Water Dec'!I14/1000</f>
        <v>0</v>
      </c>
      <c r="J14" s="672">
        <f>'Water Dec'!J14/1000</f>
        <v>15230.463</v>
      </c>
      <c r="K14" s="639" t="str">
        <f t="shared" si="15"/>
        <v>MATCH</v>
      </c>
      <c r="L14" s="672">
        <f>'Water Dec'!L14/1000</f>
        <v>15230.462869999999</v>
      </c>
      <c r="M14" s="672">
        <f>'Water Dec'!M14/1000</f>
        <v>0</v>
      </c>
      <c r="N14" s="672">
        <f>'Water Dec'!N14/1000</f>
        <v>0</v>
      </c>
      <c r="O14" s="672">
        <f>'Water Dec'!O14/1000</f>
        <v>0</v>
      </c>
      <c r="P14" s="672">
        <f>'Water Dec'!P14/1000</f>
        <v>0</v>
      </c>
      <c r="Q14" s="672">
        <f>'Water Dec'!Q14/1000</f>
        <v>0</v>
      </c>
      <c r="R14" s="672">
        <f>'Water Dec'!R14/1000</f>
        <v>0</v>
      </c>
      <c r="S14" s="672">
        <f>'Water Dec'!S14/1000</f>
        <v>0</v>
      </c>
      <c r="T14" s="672">
        <f>'Water Dec'!T14/1000</f>
        <v>0</v>
      </c>
      <c r="U14" s="672">
        <f>'Water Dec'!U14/1000</f>
        <v>0</v>
      </c>
      <c r="V14" s="624" t="str">
        <f t="shared" si="10"/>
        <v>MATCH</v>
      </c>
      <c r="W14" s="672">
        <f>'Water Dec'!W14/1000</f>
        <v>0</v>
      </c>
      <c r="X14" s="672">
        <f>'Water Dec'!X14/1000</f>
        <v>15230.462869999999</v>
      </c>
      <c r="Y14" s="672">
        <f>'Water Dec'!Y14/1000</f>
        <v>-644.02397999999994</v>
      </c>
      <c r="Z14" s="672">
        <f>'Water Dec'!Z14/1000</f>
        <v>31364.763629999998</v>
      </c>
      <c r="AA14" s="672">
        <f>'Water Dec'!AA14/1000</f>
        <v>13027.30445</v>
      </c>
      <c r="AB14" s="672">
        <f>'Water Dec'!AB14/1000</f>
        <v>0</v>
      </c>
      <c r="AC14" s="672">
        <f>'Water Dec'!AC14/1000</f>
        <v>1115.4839999999999</v>
      </c>
      <c r="AD14" s="672">
        <f>'Water Dec'!AD14/1000</f>
        <v>0</v>
      </c>
      <c r="AE14" s="672">
        <f>'Water Dec'!AE14/1000</f>
        <v>0</v>
      </c>
      <c r="AF14" s="672">
        <f>'Water Dec'!AF14/1000</f>
        <v>0</v>
      </c>
      <c r="AG14" s="672">
        <f>'Water Dec'!AG14/1000</f>
        <v>0</v>
      </c>
      <c r="AH14" s="672">
        <f>'Water Dec'!AH14/1000</f>
        <v>14142.78845</v>
      </c>
      <c r="AI14" s="672" t="e">
        <f>'Water Dec'!AI14/1000</f>
        <v>#VALUE!</v>
      </c>
      <c r="AJ14" s="672">
        <f>'Water Dec'!AJ14/1000</f>
        <v>14142.78845</v>
      </c>
      <c r="AK14" s="672">
        <f>'Water Dec'!AK14/1000</f>
        <v>0</v>
      </c>
      <c r="AL14" s="672">
        <f>'Water Dec'!AL14/1000</f>
        <v>0</v>
      </c>
      <c r="AM14" s="672">
        <f>'Water Dec'!AM14/1000</f>
        <v>0</v>
      </c>
      <c r="AN14" s="672">
        <f>'Water Dec'!AN14/1000</f>
        <v>0</v>
      </c>
      <c r="AO14" s="672">
        <f>'Water Dec'!AO14/1000</f>
        <v>0</v>
      </c>
      <c r="AP14" s="672">
        <f>'Water Dec'!AP14/1000</f>
        <v>0</v>
      </c>
      <c r="AQ14" s="672">
        <f>'Water Dec'!AQ14/1000</f>
        <v>0</v>
      </c>
      <c r="AR14" s="672">
        <f>'Water Dec'!AR14/1000</f>
        <v>0</v>
      </c>
      <c r="AS14" s="672">
        <f>'Water Dec'!AS14/1000</f>
        <v>14142.78845</v>
      </c>
      <c r="AT14" s="672">
        <f>'Water Dec'!AT14/1000</f>
        <v>1797.9570800000001</v>
      </c>
      <c r="AU14" s="672">
        <f>'Water Dec'!AU14/1000</f>
        <v>102.96263999999999</v>
      </c>
      <c r="AV14" s="672">
        <f>'Water Dec'!AV14/1000</f>
        <v>490.18988000000002</v>
      </c>
      <c r="AW14" s="672">
        <f>'Water Dec'!AW14/1000</f>
        <v>2391.1096000000002</v>
      </c>
      <c r="AX14" s="672">
        <f>'Water Dec'!AX14/1000</f>
        <v>0</v>
      </c>
      <c r="AY14" s="672">
        <f>'Water Dec'!AY14/1000</f>
        <v>0</v>
      </c>
      <c r="AZ14" s="672">
        <f>'Water Dec'!AZ14/1000</f>
        <v>0</v>
      </c>
      <c r="BA14" s="672">
        <f>'Water Dec'!BA14/1000</f>
        <v>0</v>
      </c>
      <c r="BB14" s="672">
        <f>'Water Dec'!BB14/1000</f>
        <v>2391.1096000000002</v>
      </c>
      <c r="BC14" s="672" t="e">
        <f>'Water Dec'!BC14/1000</f>
        <v>#VALUE!</v>
      </c>
      <c r="BD14" s="672">
        <f>'Water Dec'!BD14/1000</f>
        <v>2391.1096000000002</v>
      </c>
      <c r="BE14" s="672">
        <f>'Water Dec'!BE14/1000</f>
        <v>31366.06119</v>
      </c>
      <c r="BF14" s="672">
        <f>'Water Dec'!BF14/1000</f>
        <v>24662.731</v>
      </c>
      <c r="BG14" s="677">
        <f t="shared" ref="BG14" si="48">BF14/BE14</f>
        <v>0.78628715446945796</v>
      </c>
      <c r="BH14" s="633">
        <f t="shared" si="16"/>
        <v>1.8664782928921569E-2</v>
      </c>
      <c r="BI14" s="674">
        <f t="shared" si="6"/>
        <v>2.0938222257354962E-3</v>
      </c>
      <c r="BJ14" s="633">
        <f t="shared" si="36"/>
        <v>2.9302813725490197E-3</v>
      </c>
      <c r="BK14" s="675">
        <f t="shared" si="37"/>
        <v>3.287200439923014E-4</v>
      </c>
      <c r="BL14" s="676">
        <f>ROUND('Water Dec'!BL14,-3)</f>
        <v>816000</v>
      </c>
      <c r="BM14" s="676">
        <f>ROUND('Water Dec'!BM14,-3)</f>
        <v>0</v>
      </c>
      <c r="BN14" s="676">
        <f>ROUND('Water Dec'!BN14,-3)</f>
        <v>7274000</v>
      </c>
      <c r="BO14" s="636" t="s">
        <v>482</v>
      </c>
      <c r="BP14" s="637" t="s">
        <v>483</v>
      </c>
      <c r="BQ14" s="637" t="s">
        <v>484</v>
      </c>
      <c r="BR14" s="637" t="s">
        <v>461</v>
      </c>
      <c r="BS14" s="637"/>
      <c r="BT14" s="637" t="s">
        <v>485</v>
      </c>
      <c r="BU14" s="637" t="s">
        <v>464</v>
      </c>
      <c r="BV14" s="637" t="s">
        <v>465</v>
      </c>
      <c r="BW14" s="637" t="s">
        <v>466</v>
      </c>
      <c r="BX14" s="637"/>
      <c r="BY14" s="637" t="s">
        <v>468</v>
      </c>
      <c r="BZ14" s="637" t="s">
        <v>476</v>
      </c>
      <c r="CA14" s="637" t="s">
        <v>486</v>
      </c>
      <c r="CB14" s="638"/>
    </row>
    <row r="15" spans="1:82" ht="14.25" customHeight="1" x14ac:dyDescent="0.35">
      <c r="A15" s="655" t="s">
        <v>358</v>
      </c>
      <c r="B15" s="656">
        <f t="shared" ref="B15:I15" si="49">B16</f>
        <v>0</v>
      </c>
      <c r="C15" s="657">
        <f t="shared" si="49"/>
        <v>0</v>
      </c>
      <c r="D15" s="657">
        <f t="shared" si="49"/>
        <v>0</v>
      </c>
      <c r="E15" s="657">
        <f t="shared" si="49"/>
        <v>0</v>
      </c>
      <c r="F15" s="657">
        <f t="shared" si="49"/>
        <v>0</v>
      </c>
      <c r="G15" s="657">
        <f t="shared" si="49"/>
        <v>0</v>
      </c>
      <c r="H15" s="657">
        <f t="shared" si="49"/>
        <v>88.438000000000002</v>
      </c>
      <c r="I15" s="657">
        <f t="shared" si="49"/>
        <v>0</v>
      </c>
      <c r="J15" s="639">
        <f t="shared" si="19"/>
        <v>88.438000000000002</v>
      </c>
      <c r="K15" s="639" t="str">
        <f t="shared" si="15"/>
        <v>MATCH</v>
      </c>
      <c r="L15" s="639">
        <f t="shared" ref="L15:BF15" si="50">L16</f>
        <v>88.438000000000002</v>
      </c>
      <c r="M15" s="656">
        <f t="shared" si="50"/>
        <v>0</v>
      </c>
      <c r="N15" s="658">
        <f t="shared" si="50"/>
        <v>0</v>
      </c>
      <c r="O15" s="658">
        <f t="shared" si="50"/>
        <v>0</v>
      </c>
      <c r="P15" s="658">
        <f t="shared" si="50"/>
        <v>0</v>
      </c>
      <c r="Q15" s="658">
        <f t="shared" si="50"/>
        <v>0</v>
      </c>
      <c r="R15" s="658">
        <f t="shared" si="50"/>
        <v>0</v>
      </c>
      <c r="S15" s="658">
        <f t="shared" si="50"/>
        <v>1170.048</v>
      </c>
      <c r="T15" s="658">
        <f t="shared" si="50"/>
        <v>0</v>
      </c>
      <c r="U15" s="639">
        <f t="shared" si="40"/>
        <v>1170.048</v>
      </c>
      <c r="V15" s="624" t="str">
        <f t="shared" si="10"/>
        <v>MATCH</v>
      </c>
      <c r="W15" s="659">
        <f t="shared" si="50"/>
        <v>1170.048</v>
      </c>
      <c r="X15" s="659">
        <f t="shared" si="50"/>
        <v>1258.4860000000001</v>
      </c>
      <c r="Y15" s="660">
        <f t="shared" si="50"/>
        <v>81.722999999999999</v>
      </c>
      <c r="Z15" s="661">
        <f t="shared" si="50"/>
        <v>0</v>
      </c>
      <c r="AA15" s="656">
        <f t="shared" si="50"/>
        <v>0</v>
      </c>
      <c r="AB15" s="657">
        <f t="shared" si="50"/>
        <v>0</v>
      </c>
      <c r="AC15" s="657">
        <f t="shared" si="50"/>
        <v>0</v>
      </c>
      <c r="AD15" s="657">
        <f t="shared" si="50"/>
        <v>0</v>
      </c>
      <c r="AE15" s="657">
        <f t="shared" si="50"/>
        <v>0</v>
      </c>
      <c r="AF15" s="657">
        <f t="shared" si="50"/>
        <v>0</v>
      </c>
      <c r="AG15" s="657">
        <f t="shared" si="50"/>
        <v>0</v>
      </c>
      <c r="AH15" s="639">
        <f t="shared" si="12"/>
        <v>0</v>
      </c>
      <c r="AI15" s="639" t="str">
        <f t="shared" si="23"/>
        <v>MATCH</v>
      </c>
      <c r="AJ15" s="662">
        <f t="shared" si="50"/>
        <v>0</v>
      </c>
      <c r="AK15" s="656">
        <f t="shared" si="50"/>
        <v>0</v>
      </c>
      <c r="AL15" s="657">
        <f t="shared" si="50"/>
        <v>0</v>
      </c>
      <c r="AM15" s="657">
        <f t="shared" si="50"/>
        <v>0</v>
      </c>
      <c r="AN15" s="657">
        <f t="shared" si="50"/>
        <v>0</v>
      </c>
      <c r="AO15" s="657">
        <f t="shared" si="50"/>
        <v>0</v>
      </c>
      <c r="AP15" s="657">
        <f t="shared" si="50"/>
        <v>0</v>
      </c>
      <c r="AQ15" s="657">
        <f t="shared" si="50"/>
        <v>14.8216</v>
      </c>
      <c r="AR15" s="662">
        <f t="shared" si="50"/>
        <v>14.8216</v>
      </c>
      <c r="AS15" s="663">
        <f t="shared" si="4"/>
        <v>14.8216</v>
      </c>
      <c r="AT15" s="656">
        <f t="shared" ref="AT15:AZ15" si="51">AT16</f>
        <v>0</v>
      </c>
      <c r="AU15" s="657">
        <f t="shared" si="51"/>
        <v>0</v>
      </c>
      <c r="AV15" s="657">
        <f t="shared" si="51"/>
        <v>0</v>
      </c>
      <c r="AW15" s="657">
        <f t="shared" si="32"/>
        <v>0</v>
      </c>
      <c r="AX15" s="657">
        <f t="shared" si="51"/>
        <v>109.738</v>
      </c>
      <c r="AY15" s="657">
        <f t="shared" si="51"/>
        <v>1055.838</v>
      </c>
      <c r="AZ15" s="657">
        <f t="shared" si="51"/>
        <v>0</v>
      </c>
      <c r="BA15" s="657">
        <f t="shared" si="33"/>
        <v>1165.576</v>
      </c>
      <c r="BB15" s="639">
        <f t="shared" si="14"/>
        <v>1165.576</v>
      </c>
      <c r="BC15" s="639" t="str">
        <f t="shared" si="25"/>
        <v>MATCH</v>
      </c>
      <c r="BD15" s="662">
        <f t="shared" si="50"/>
        <v>1165.576</v>
      </c>
      <c r="BE15" s="663">
        <f t="shared" si="50"/>
        <v>7178.9314999999997</v>
      </c>
      <c r="BF15" s="660">
        <f t="shared" si="50"/>
        <v>5964.3701300000002</v>
      </c>
      <c r="BG15" s="664">
        <f>BF15/BE15</f>
        <v>0.83081585748519826</v>
      </c>
      <c r="BH15" s="678">
        <f>BH16</f>
        <v>8.3210637327179801E-3</v>
      </c>
      <c r="BI15" s="666">
        <f t="shared" si="6"/>
        <v>4.4438064971751413E-4</v>
      </c>
      <c r="BJ15" s="678">
        <f>BJ16</f>
        <v>7.7067461865499426E-3</v>
      </c>
      <c r="BK15" s="667">
        <f t="shared" si="37"/>
        <v>4.1157344632768362E-4</v>
      </c>
      <c r="BL15" s="668">
        <f>BL16</f>
        <v>0</v>
      </c>
      <c r="BM15" s="669">
        <f t="shared" ref="BM15:BN15" si="52">BM16</f>
        <v>151241000</v>
      </c>
      <c r="BN15" s="670">
        <f t="shared" si="52"/>
        <v>2832000</v>
      </c>
      <c r="BO15" s="636"/>
      <c r="BP15" s="637"/>
      <c r="BQ15" s="637"/>
      <c r="BR15" s="637"/>
      <c r="BS15" s="637"/>
      <c r="BT15" s="637"/>
      <c r="BU15" s="637"/>
      <c r="BV15" s="637"/>
      <c r="BW15" s="637"/>
      <c r="BX15" s="637"/>
      <c r="BY15" s="637"/>
      <c r="BZ15" s="637"/>
      <c r="CA15" s="637"/>
      <c r="CB15" s="638"/>
    </row>
    <row r="16" spans="1:82" ht="14.25" customHeight="1" x14ac:dyDescent="0.35">
      <c r="A16" s="671" t="s">
        <v>487</v>
      </c>
      <c r="B16" s="679">
        <f>'Water Dec'!B16/1000</f>
        <v>0</v>
      </c>
      <c r="C16" s="679">
        <f>'Water Dec'!C16/1000</f>
        <v>0</v>
      </c>
      <c r="D16" s="679">
        <f>'Water Dec'!D16/1000</f>
        <v>0</v>
      </c>
      <c r="E16" s="679">
        <f>'Water Dec'!E16/1000</f>
        <v>0</v>
      </c>
      <c r="F16" s="679">
        <f>'Water Dec'!F16/1000</f>
        <v>0</v>
      </c>
      <c r="G16" s="679">
        <f>'Water Dec'!G16/1000</f>
        <v>0</v>
      </c>
      <c r="H16" s="679">
        <f>'Water Dec'!H16/1000</f>
        <v>88.438000000000002</v>
      </c>
      <c r="I16" s="679">
        <f>'Water Dec'!I16/1000</f>
        <v>0</v>
      </c>
      <c r="J16" s="679">
        <f>'Water Dec'!J16/1000</f>
        <v>88.438000000000002</v>
      </c>
      <c r="K16" s="639" t="str">
        <f t="shared" si="15"/>
        <v>MATCH</v>
      </c>
      <c r="L16" s="679">
        <f>'Water Dec'!L16/1000</f>
        <v>88.438000000000002</v>
      </c>
      <c r="M16" s="679">
        <f>'Water Dec'!M16/1000</f>
        <v>0</v>
      </c>
      <c r="N16" s="679">
        <f>'Water Dec'!N16/1000</f>
        <v>0</v>
      </c>
      <c r="O16" s="679">
        <f>'Water Dec'!O16/1000</f>
        <v>0</v>
      </c>
      <c r="P16" s="679">
        <f>'Water Dec'!P16/1000</f>
        <v>0</v>
      </c>
      <c r="Q16" s="679">
        <f>'Water Dec'!Q16/1000</f>
        <v>0</v>
      </c>
      <c r="R16" s="679">
        <f>'Water Dec'!R16/1000</f>
        <v>0</v>
      </c>
      <c r="S16" s="679">
        <f>'Water Dec'!S16/1000</f>
        <v>1170.048</v>
      </c>
      <c r="T16" s="679">
        <f>'Water Dec'!T16/1000</f>
        <v>0</v>
      </c>
      <c r="U16" s="679">
        <f>'Water Dec'!U16/1000</f>
        <v>1170.048</v>
      </c>
      <c r="V16" s="624" t="str">
        <f t="shared" si="10"/>
        <v>MATCH</v>
      </c>
      <c r="W16" s="679">
        <f>'Water Dec'!W16/1000</f>
        <v>1170.048</v>
      </c>
      <c r="X16" s="679">
        <f>'Water Dec'!X16/1000</f>
        <v>1258.4860000000001</v>
      </c>
      <c r="Y16" s="679">
        <f>'Water Dec'!Y16/1000</f>
        <v>81.722999999999999</v>
      </c>
      <c r="Z16" s="679">
        <f>'Water Dec'!Z16/1000</f>
        <v>0</v>
      </c>
      <c r="AA16" s="679">
        <f>'Water Dec'!AA16/1000</f>
        <v>0</v>
      </c>
      <c r="AB16" s="679">
        <f>'Water Dec'!AB16/1000</f>
        <v>0</v>
      </c>
      <c r="AC16" s="679">
        <f>'Water Dec'!AC16/1000</f>
        <v>0</v>
      </c>
      <c r="AD16" s="679">
        <f>'Water Dec'!AD16/1000</f>
        <v>0</v>
      </c>
      <c r="AE16" s="679">
        <f>'Water Dec'!AE16/1000</f>
        <v>0</v>
      </c>
      <c r="AF16" s="679">
        <f>'Water Dec'!AF16/1000</f>
        <v>0</v>
      </c>
      <c r="AG16" s="679">
        <f>'Water Dec'!AG16/1000</f>
        <v>0</v>
      </c>
      <c r="AH16" s="679">
        <f>'Water Dec'!AH16/1000</f>
        <v>0</v>
      </c>
      <c r="AI16" s="679" t="e">
        <f>'Water Dec'!AI16/1000</f>
        <v>#VALUE!</v>
      </c>
      <c r="AJ16" s="679">
        <f>'Water Dec'!AJ16/1000</f>
        <v>0</v>
      </c>
      <c r="AK16" s="679">
        <f>'Water Dec'!AK16/1000</f>
        <v>0</v>
      </c>
      <c r="AL16" s="679">
        <f>'Water Dec'!AL16/1000</f>
        <v>0</v>
      </c>
      <c r="AM16" s="679">
        <f>'Water Dec'!AM16/1000</f>
        <v>0</v>
      </c>
      <c r="AN16" s="679">
        <f>'Water Dec'!AN16/1000</f>
        <v>0</v>
      </c>
      <c r="AO16" s="679">
        <f>'Water Dec'!AO16/1000</f>
        <v>0</v>
      </c>
      <c r="AP16" s="679">
        <f>'Water Dec'!AP16/1000</f>
        <v>0</v>
      </c>
      <c r="AQ16" s="679">
        <f>'Water Dec'!AQ16/1000</f>
        <v>14.8216</v>
      </c>
      <c r="AR16" s="679">
        <f>'Water Dec'!AR16/1000</f>
        <v>14.8216</v>
      </c>
      <c r="AS16" s="679">
        <f>'Water Dec'!AS16/1000</f>
        <v>14.8216</v>
      </c>
      <c r="AT16" s="679">
        <f>'Water Dec'!AT16/1000</f>
        <v>0</v>
      </c>
      <c r="AU16" s="679">
        <f>'Water Dec'!AU16/1000</f>
        <v>0</v>
      </c>
      <c r="AV16" s="679">
        <f>'Water Dec'!AV16/1000</f>
        <v>0</v>
      </c>
      <c r="AW16" s="679">
        <f>'Water Dec'!AW16/1000</f>
        <v>0</v>
      </c>
      <c r="AX16" s="679">
        <f>'Water Dec'!AX16/1000</f>
        <v>109.738</v>
      </c>
      <c r="AY16" s="679">
        <f>'Water Dec'!AY16/1000</f>
        <v>1055.838</v>
      </c>
      <c r="AZ16" s="679">
        <f>'Water Dec'!AZ16/1000</f>
        <v>0</v>
      </c>
      <c r="BA16" s="679">
        <f>'Water Dec'!BA16/1000</f>
        <v>1165.576</v>
      </c>
      <c r="BB16" s="679">
        <f>'Water Dec'!BB16/1000</f>
        <v>1165.576</v>
      </c>
      <c r="BC16" s="679" t="e">
        <f>'Water Dec'!BC16/1000</f>
        <v>#VALUE!</v>
      </c>
      <c r="BD16" s="679">
        <f>'Water Dec'!BD16/1000</f>
        <v>1165.576</v>
      </c>
      <c r="BE16" s="679">
        <f>'Water Dec'!BE16/1000</f>
        <v>7178.9314999999997</v>
      </c>
      <c r="BF16" s="679">
        <f>'Water Dec'!BF16/1000</f>
        <v>5964.3701300000002</v>
      </c>
      <c r="BG16" s="677">
        <f t="shared" ref="BG16" si="53">BF16/BE16</f>
        <v>0.83081585748519826</v>
      </c>
      <c r="BH16" s="680">
        <f>(X16/BM16)*1000</f>
        <v>8.3210637327179801E-3</v>
      </c>
      <c r="BI16" s="674">
        <f t="shared" si="6"/>
        <v>4.4438064971751413E-4</v>
      </c>
      <c r="BJ16" s="680">
        <f>(BD16/BM16)*1000</f>
        <v>7.7067461865499426E-3</v>
      </c>
      <c r="BK16" s="675">
        <f t="shared" si="37"/>
        <v>4.1157344632768362E-4</v>
      </c>
      <c r="BL16" s="676">
        <f>ROUND('Water Dec'!BL16,-3)</f>
        <v>0</v>
      </c>
      <c r="BM16" s="676">
        <f>ROUND('Water Dec'!BM16,-3)</f>
        <v>151241000</v>
      </c>
      <c r="BN16" s="676">
        <f>ROUND('Water Dec'!BN16,-3)</f>
        <v>2832000</v>
      </c>
      <c r="BO16" s="636" t="s">
        <v>488</v>
      </c>
      <c r="BP16" s="637" t="s">
        <v>489</v>
      </c>
      <c r="BQ16" s="637" t="s">
        <v>460</v>
      </c>
      <c r="BR16" s="637" t="s">
        <v>490</v>
      </c>
      <c r="BS16" s="637" t="s">
        <v>480</v>
      </c>
      <c r="BT16" s="637" t="s">
        <v>491</v>
      </c>
      <c r="BU16" s="637" t="s">
        <v>464</v>
      </c>
      <c r="BV16" s="637" t="s">
        <v>463</v>
      </c>
      <c r="BW16" s="637" t="s">
        <v>466</v>
      </c>
      <c r="BX16" s="637" t="s">
        <v>475</v>
      </c>
      <c r="BY16" s="637" t="s">
        <v>468</v>
      </c>
      <c r="BZ16" s="637" t="s">
        <v>469</v>
      </c>
      <c r="CA16" s="637" t="s">
        <v>470</v>
      </c>
      <c r="CB16" s="638"/>
    </row>
    <row r="17" spans="1:82" ht="14.25" customHeight="1" x14ac:dyDescent="0.35">
      <c r="A17" s="655" t="s">
        <v>360</v>
      </c>
      <c r="B17" s="656">
        <f t="shared" ref="B17:I17" si="54">SUM(B18:B20)</f>
        <v>25509.771000000001</v>
      </c>
      <c r="C17" s="657">
        <f t="shared" si="54"/>
        <v>0</v>
      </c>
      <c r="D17" s="657">
        <f t="shared" si="54"/>
        <v>762.44500000000005</v>
      </c>
      <c r="E17" s="657">
        <f>SUM(E18:E20)</f>
        <v>398.976</v>
      </c>
      <c r="F17" s="657">
        <f t="shared" si="54"/>
        <v>317.56200000000001</v>
      </c>
      <c r="G17" s="657">
        <f t="shared" si="54"/>
        <v>0</v>
      </c>
      <c r="H17" s="657">
        <f t="shared" si="54"/>
        <v>16.196000000000002</v>
      </c>
      <c r="I17" s="657">
        <f t="shared" si="54"/>
        <v>7.2380000000000004</v>
      </c>
      <c r="J17" s="639">
        <f t="shared" si="19"/>
        <v>27012.188000000002</v>
      </c>
      <c r="K17" s="639" t="str">
        <f t="shared" si="15"/>
        <v>MATCH</v>
      </c>
      <c r="L17" s="639">
        <f t="shared" ref="L17:BF17" si="55">SUM(L18:L20)</f>
        <v>27012.187980000002</v>
      </c>
      <c r="M17" s="656">
        <f t="shared" si="55"/>
        <v>0</v>
      </c>
      <c r="N17" s="658">
        <f t="shared" si="55"/>
        <v>0</v>
      </c>
      <c r="O17" s="658">
        <f t="shared" si="55"/>
        <v>256.12</v>
      </c>
      <c r="P17" s="658">
        <f t="shared" si="55"/>
        <v>0</v>
      </c>
      <c r="Q17" s="658">
        <f t="shared" si="55"/>
        <v>0</v>
      </c>
      <c r="R17" s="658">
        <f t="shared" si="55"/>
        <v>0</v>
      </c>
      <c r="S17" s="658">
        <f t="shared" si="55"/>
        <v>0</v>
      </c>
      <c r="T17" s="658">
        <f t="shared" si="55"/>
        <v>0</v>
      </c>
      <c r="U17" s="639">
        <f t="shared" si="40"/>
        <v>256.12</v>
      </c>
      <c r="V17" s="624" t="str">
        <f t="shared" si="10"/>
        <v>MATCH</v>
      </c>
      <c r="W17" s="659">
        <f t="shared" si="55"/>
        <v>256.12</v>
      </c>
      <c r="X17" s="659">
        <f>SUM(X18:X20)</f>
        <v>27268.307980000001</v>
      </c>
      <c r="Y17" s="660">
        <f t="shared" si="55"/>
        <v>7091.3410000000003</v>
      </c>
      <c r="Z17" s="661">
        <f t="shared" si="55"/>
        <v>20851.15998</v>
      </c>
      <c r="AA17" s="656">
        <f t="shared" si="55"/>
        <v>14755.429</v>
      </c>
      <c r="AB17" s="657">
        <f t="shared" si="55"/>
        <v>0</v>
      </c>
      <c r="AC17" s="657">
        <f t="shared" si="55"/>
        <v>0</v>
      </c>
      <c r="AD17" s="657">
        <f t="shared" si="55"/>
        <v>0</v>
      </c>
      <c r="AE17" s="657">
        <f t="shared" si="55"/>
        <v>0</v>
      </c>
      <c r="AF17" s="657">
        <f t="shared" si="55"/>
        <v>0</v>
      </c>
      <c r="AG17" s="657">
        <f t="shared" si="55"/>
        <v>0</v>
      </c>
      <c r="AH17" s="639">
        <f t="shared" si="12"/>
        <v>14755.429</v>
      </c>
      <c r="AI17" s="639" t="str">
        <f t="shared" si="23"/>
        <v>MATCH</v>
      </c>
      <c r="AJ17" s="662">
        <f t="shared" si="55"/>
        <v>14755.429</v>
      </c>
      <c r="AK17" s="656">
        <f t="shared" si="55"/>
        <v>0</v>
      </c>
      <c r="AL17" s="657">
        <f t="shared" si="55"/>
        <v>0</v>
      </c>
      <c r="AM17" s="657">
        <f t="shared" si="55"/>
        <v>331.89400000000001</v>
      </c>
      <c r="AN17" s="657">
        <f t="shared" si="55"/>
        <v>0</v>
      </c>
      <c r="AO17" s="657">
        <f t="shared" si="55"/>
        <v>0</v>
      </c>
      <c r="AP17" s="657">
        <f t="shared" si="55"/>
        <v>0</v>
      </c>
      <c r="AQ17" s="657">
        <f t="shared" si="55"/>
        <v>0</v>
      </c>
      <c r="AR17" s="662">
        <f t="shared" si="55"/>
        <v>331.89400000000001</v>
      </c>
      <c r="AS17" s="663">
        <f t="shared" si="4"/>
        <v>15087.323</v>
      </c>
      <c r="AT17" s="656">
        <f t="shared" ref="AT17:AZ17" si="56">SUM(AT18:AT20)</f>
        <v>6602.5497799999994</v>
      </c>
      <c r="AU17" s="657">
        <f t="shared" si="56"/>
        <v>410.17</v>
      </c>
      <c r="AV17" s="657">
        <f t="shared" si="56"/>
        <v>568.40300000000002</v>
      </c>
      <c r="AW17" s="657">
        <f t="shared" si="32"/>
        <v>7581.1227799999997</v>
      </c>
      <c r="AX17" s="657">
        <f t="shared" si="56"/>
        <v>0</v>
      </c>
      <c r="AY17" s="657">
        <f t="shared" si="56"/>
        <v>0</v>
      </c>
      <c r="AZ17" s="657">
        <f t="shared" si="56"/>
        <v>0</v>
      </c>
      <c r="BA17" s="657">
        <f t="shared" si="33"/>
        <v>0</v>
      </c>
      <c r="BB17" s="639">
        <f t="shared" si="14"/>
        <v>7581.1227799999997</v>
      </c>
      <c r="BC17" s="639" t="str">
        <f t="shared" si="25"/>
        <v>MATCH</v>
      </c>
      <c r="BD17" s="662">
        <f t="shared" si="55"/>
        <v>7581.1227799999997</v>
      </c>
      <c r="BE17" s="663">
        <f t="shared" si="55"/>
        <v>11652.994500000001</v>
      </c>
      <c r="BF17" s="660">
        <f t="shared" si="55"/>
        <v>7946.7014999999992</v>
      </c>
      <c r="BG17" s="664">
        <f t="shared" si="26"/>
        <v>0.68194501421930631</v>
      </c>
      <c r="BH17" s="665">
        <f t="shared" si="16"/>
        <v>4.800758447183099E-2</v>
      </c>
      <c r="BI17" s="666">
        <f t="shared" si="6"/>
        <v>4.4309892720181994E-3</v>
      </c>
      <c r="BJ17" s="665">
        <f t="shared" si="36"/>
        <v>1.3347047147887323E-2</v>
      </c>
      <c r="BK17" s="667">
        <f t="shared" si="37"/>
        <v>1.2319016542086448E-3</v>
      </c>
      <c r="BL17" s="668">
        <f>SUM(BL18:BL20)</f>
        <v>568000</v>
      </c>
      <c r="BM17" s="669">
        <f t="shared" ref="BM17:BN17" si="57">SUM(BM18:BM20)</f>
        <v>0</v>
      </c>
      <c r="BN17" s="670">
        <f t="shared" si="57"/>
        <v>6154000</v>
      </c>
      <c r="BO17" s="636"/>
      <c r="BP17" s="637"/>
      <c r="BQ17" s="637"/>
      <c r="BR17" s="637"/>
      <c r="BS17" s="637"/>
      <c r="BT17" s="637"/>
      <c r="BU17" s="637"/>
      <c r="BV17" s="637"/>
      <c r="BW17" s="637"/>
      <c r="BX17" s="637"/>
      <c r="BY17" s="637"/>
      <c r="BZ17" s="637"/>
      <c r="CA17" s="637"/>
      <c r="CB17" s="638"/>
    </row>
    <row r="18" spans="1:82" ht="14.25" customHeight="1" x14ac:dyDescent="0.35">
      <c r="A18" s="671" t="s">
        <v>361</v>
      </c>
      <c r="B18" s="672">
        <f>'Water Dec'!B18/1000</f>
        <v>1048.3579999999999</v>
      </c>
      <c r="C18" s="672">
        <f>'Water Dec'!C18/1000</f>
        <v>0</v>
      </c>
      <c r="D18" s="672">
        <f>'Water Dec'!D18/1000</f>
        <v>762.44500000000005</v>
      </c>
      <c r="E18" s="672">
        <f>'Water Dec'!E18/1000</f>
        <v>206.28</v>
      </c>
      <c r="F18" s="672">
        <f>'Water Dec'!F18/1000</f>
        <v>167.09800000000001</v>
      </c>
      <c r="G18" s="672">
        <f>'Water Dec'!G18/1000</f>
        <v>0</v>
      </c>
      <c r="H18" s="672">
        <f>'Water Dec'!H18/1000</f>
        <v>0</v>
      </c>
      <c r="I18" s="672">
        <f>'Water Dec'!I18/1000</f>
        <v>0</v>
      </c>
      <c r="J18" s="672">
        <f>'Water Dec'!J18/1000</f>
        <v>2184.181</v>
      </c>
      <c r="K18" s="639" t="str">
        <f t="shared" si="15"/>
        <v>MATCH</v>
      </c>
      <c r="L18" s="672">
        <f>'Water Dec'!L18/1000</f>
        <v>2184.181</v>
      </c>
      <c r="M18" s="672">
        <f>'Water Dec'!M18/1000</f>
        <v>0</v>
      </c>
      <c r="N18" s="672">
        <f>'Water Dec'!N18/1000</f>
        <v>0</v>
      </c>
      <c r="O18" s="672">
        <f>'Water Dec'!O18/1000</f>
        <v>256.12</v>
      </c>
      <c r="P18" s="672">
        <f>'Water Dec'!P18/1000</f>
        <v>0</v>
      </c>
      <c r="Q18" s="672">
        <f>'Water Dec'!Q18/1000</f>
        <v>0</v>
      </c>
      <c r="R18" s="672">
        <f>'Water Dec'!R18/1000</f>
        <v>0</v>
      </c>
      <c r="S18" s="672">
        <f>'Water Dec'!S18/1000</f>
        <v>0</v>
      </c>
      <c r="T18" s="672">
        <f>'Water Dec'!T18/1000</f>
        <v>0</v>
      </c>
      <c r="U18" s="672">
        <f>'Water Dec'!U18/1000</f>
        <v>256.12</v>
      </c>
      <c r="V18" s="624" t="str">
        <f t="shared" si="10"/>
        <v>MATCH</v>
      </c>
      <c r="W18" s="672">
        <f>'Water Dec'!W18/1000</f>
        <v>256.12</v>
      </c>
      <c r="X18" s="672">
        <f>'Water Dec'!X18/1000</f>
        <v>2440.3009999999999</v>
      </c>
      <c r="Y18" s="672">
        <f>'Water Dec'!Y18/1000</f>
        <v>342.24599999999998</v>
      </c>
      <c r="Z18" s="672">
        <f>'Water Dec'!Z18/1000</f>
        <v>0</v>
      </c>
      <c r="AA18" s="672">
        <f>'Water Dec'!AA18/1000</f>
        <v>0</v>
      </c>
      <c r="AB18" s="672">
        <f>'Water Dec'!AB18/1000</f>
        <v>0</v>
      </c>
      <c r="AC18" s="672">
        <f>'Water Dec'!AC18/1000</f>
        <v>0</v>
      </c>
      <c r="AD18" s="672">
        <f>'Water Dec'!AD18/1000</f>
        <v>0</v>
      </c>
      <c r="AE18" s="672">
        <f>'Water Dec'!AE18/1000</f>
        <v>0</v>
      </c>
      <c r="AF18" s="672">
        <f>'Water Dec'!AF18/1000</f>
        <v>0</v>
      </c>
      <c r="AG18" s="672">
        <f>'Water Dec'!AG18/1000</f>
        <v>0</v>
      </c>
      <c r="AH18" s="672">
        <f>'Water Dec'!AH18/1000</f>
        <v>0</v>
      </c>
      <c r="AI18" s="672" t="e">
        <f>'Water Dec'!AI18/1000</f>
        <v>#VALUE!</v>
      </c>
      <c r="AJ18" s="672">
        <f>'Water Dec'!AJ18/1000</f>
        <v>0</v>
      </c>
      <c r="AK18" s="672">
        <f>'Water Dec'!AK18/1000</f>
        <v>0</v>
      </c>
      <c r="AL18" s="672">
        <f>'Water Dec'!AL18/1000</f>
        <v>0</v>
      </c>
      <c r="AM18" s="672">
        <f>'Water Dec'!AM18/1000</f>
        <v>331.89400000000001</v>
      </c>
      <c r="AN18" s="672">
        <f>'Water Dec'!AN18/1000</f>
        <v>0</v>
      </c>
      <c r="AO18" s="672">
        <f>'Water Dec'!AO18/1000</f>
        <v>0</v>
      </c>
      <c r="AP18" s="672">
        <f>'Water Dec'!AP18/1000</f>
        <v>0</v>
      </c>
      <c r="AQ18" s="672">
        <f>'Water Dec'!AQ18/1000</f>
        <v>0</v>
      </c>
      <c r="AR18" s="672">
        <f>'Water Dec'!AR18/1000</f>
        <v>331.89400000000001</v>
      </c>
      <c r="AS18" s="672">
        <f>'Water Dec'!AS18/1000</f>
        <v>331.89400000000001</v>
      </c>
      <c r="AT18" s="672">
        <f>'Water Dec'!AT18/1000</f>
        <v>979.79899999999998</v>
      </c>
      <c r="AU18" s="672">
        <f>'Water Dec'!AU18/1000</f>
        <v>269.12400000000002</v>
      </c>
      <c r="AV18" s="672">
        <f>'Water Dec'!AV18/1000</f>
        <v>143.62</v>
      </c>
      <c r="AW18" s="672">
        <f>'Water Dec'!AW18/1000</f>
        <v>1392.5429999999999</v>
      </c>
      <c r="AX18" s="672">
        <f>'Water Dec'!AX18/1000</f>
        <v>0</v>
      </c>
      <c r="AY18" s="672">
        <f>'Water Dec'!AY18/1000</f>
        <v>0</v>
      </c>
      <c r="AZ18" s="672">
        <f>'Water Dec'!AZ18/1000</f>
        <v>0</v>
      </c>
      <c r="BA18" s="672">
        <f>'Water Dec'!BA18/1000</f>
        <v>0</v>
      </c>
      <c r="BB18" s="672">
        <f>'Water Dec'!BB18/1000</f>
        <v>1392.5429999999999</v>
      </c>
      <c r="BC18" s="672" t="e">
        <f>'Water Dec'!BC18/1000</f>
        <v>#VALUE!</v>
      </c>
      <c r="BD18" s="672">
        <f>'Water Dec'!BD18/1000</f>
        <v>1392.5429999999999</v>
      </c>
      <c r="BE18" s="672">
        <f>'Water Dec'!BE18/1000</f>
        <v>3064.5569999999998</v>
      </c>
      <c r="BF18" s="672">
        <f>'Water Dec'!BF18/1000</f>
        <v>1469.1179999999999</v>
      </c>
      <c r="BG18" s="677">
        <f t="shared" si="26"/>
        <v>0.47939000645117713</v>
      </c>
      <c r="BH18" s="633">
        <f t="shared" si="16"/>
        <v>1.1510853773584906E-2</v>
      </c>
      <c r="BI18" s="674">
        <f t="shared" si="6"/>
        <v>3.173343302990897E-3</v>
      </c>
      <c r="BJ18" s="633">
        <f t="shared" si="36"/>
        <v>6.5685990566037734E-3</v>
      </c>
      <c r="BK18" s="675">
        <f t="shared" si="37"/>
        <v>1.8108491547464238E-3</v>
      </c>
      <c r="BL18" s="676">
        <f>ROUND('Water Dec'!BL18,-3)</f>
        <v>212000</v>
      </c>
      <c r="BM18" s="676">
        <f>ROUND('Water Dec'!BM18,-3)</f>
        <v>0</v>
      </c>
      <c r="BN18" s="676">
        <f>ROUND('Water Dec'!BN18,-3)</f>
        <v>769000</v>
      </c>
      <c r="BO18" s="636" t="s">
        <v>492</v>
      </c>
      <c r="BP18" s="637" t="s">
        <v>493</v>
      </c>
      <c r="BQ18" s="637" t="s">
        <v>480</v>
      </c>
      <c r="BR18" s="637" t="s">
        <v>474</v>
      </c>
      <c r="BS18" s="637"/>
      <c r="BT18" s="637" t="s">
        <v>485</v>
      </c>
      <c r="BU18" s="637" t="s">
        <v>464</v>
      </c>
      <c r="BV18" s="637" t="s">
        <v>463</v>
      </c>
      <c r="BW18" s="637" t="s">
        <v>467</v>
      </c>
      <c r="BX18" s="637" t="s">
        <v>475</v>
      </c>
      <c r="BY18" s="637" t="s">
        <v>468</v>
      </c>
      <c r="BZ18" s="637" t="s">
        <v>481</v>
      </c>
      <c r="CA18" s="637" t="s">
        <v>470</v>
      </c>
      <c r="CB18" s="638" t="s">
        <v>468</v>
      </c>
    </row>
    <row r="19" spans="1:82" ht="14.25" customHeight="1" x14ac:dyDescent="0.35">
      <c r="A19" s="671" t="s">
        <v>362</v>
      </c>
      <c r="B19" s="672">
        <f>'Water Dec'!B19/1000</f>
        <v>2419.77</v>
      </c>
      <c r="C19" s="672">
        <f>'Water Dec'!C19/1000</f>
        <v>0</v>
      </c>
      <c r="D19" s="672">
        <f>'Water Dec'!D19/1000</f>
        <v>0</v>
      </c>
      <c r="E19" s="672">
        <f>'Water Dec'!E19/1000</f>
        <v>0</v>
      </c>
      <c r="F19" s="672">
        <f>'Water Dec'!F19/1000</f>
        <v>150.464</v>
      </c>
      <c r="G19" s="672">
        <f>'Water Dec'!G19/1000</f>
        <v>0</v>
      </c>
      <c r="H19" s="672">
        <f>'Water Dec'!H19/1000</f>
        <v>16.196000000000002</v>
      </c>
      <c r="I19" s="672">
        <f>'Water Dec'!I19/1000</f>
        <v>7.2380000000000004</v>
      </c>
      <c r="J19" s="672">
        <f>'Water Dec'!J19/1000</f>
        <v>2593.6680000000001</v>
      </c>
      <c r="K19" s="639" t="str">
        <f t="shared" si="15"/>
        <v>MATCH</v>
      </c>
      <c r="L19" s="672">
        <f>'Water Dec'!L19/1000</f>
        <v>2593.6680000000001</v>
      </c>
      <c r="M19" s="672">
        <f>'Water Dec'!M19/1000</f>
        <v>0</v>
      </c>
      <c r="N19" s="672">
        <f>'Water Dec'!N19/1000</f>
        <v>0</v>
      </c>
      <c r="O19" s="672">
        <f>'Water Dec'!O19/1000</f>
        <v>0</v>
      </c>
      <c r="P19" s="672">
        <f>'Water Dec'!P19/1000</f>
        <v>0</v>
      </c>
      <c r="Q19" s="672">
        <f>'Water Dec'!Q19/1000</f>
        <v>0</v>
      </c>
      <c r="R19" s="672">
        <f>'Water Dec'!R19/1000</f>
        <v>0</v>
      </c>
      <c r="S19" s="672">
        <f>'Water Dec'!S19/1000</f>
        <v>0</v>
      </c>
      <c r="T19" s="672">
        <f>'Water Dec'!T19/1000</f>
        <v>0</v>
      </c>
      <c r="U19" s="672">
        <f>'Water Dec'!U19/1000</f>
        <v>0</v>
      </c>
      <c r="V19" s="624" t="str">
        <f t="shared" si="10"/>
        <v>MATCH</v>
      </c>
      <c r="W19" s="672">
        <f>'Water Dec'!W19/1000</f>
        <v>0</v>
      </c>
      <c r="X19" s="672">
        <f>'Water Dec'!X19/1000</f>
        <v>2593.6680000000001</v>
      </c>
      <c r="Y19" s="672">
        <f>'Water Dec'!Y19/1000</f>
        <v>265.19200000000001</v>
      </c>
      <c r="Z19" s="672">
        <f>'Water Dec'!Z19/1000</f>
        <v>0</v>
      </c>
      <c r="AA19" s="672">
        <f>'Water Dec'!AA19/1000</f>
        <v>0</v>
      </c>
      <c r="AB19" s="672">
        <f>'Water Dec'!AB19/1000</f>
        <v>0</v>
      </c>
      <c r="AC19" s="672">
        <f>'Water Dec'!AC19/1000</f>
        <v>0</v>
      </c>
      <c r="AD19" s="672">
        <f>'Water Dec'!AD19/1000</f>
        <v>0</v>
      </c>
      <c r="AE19" s="672">
        <f>'Water Dec'!AE19/1000</f>
        <v>0</v>
      </c>
      <c r="AF19" s="672">
        <f>'Water Dec'!AF19/1000</f>
        <v>0</v>
      </c>
      <c r="AG19" s="672">
        <f>'Water Dec'!AG19/1000</f>
        <v>0</v>
      </c>
      <c r="AH19" s="672">
        <f>'Water Dec'!AH19/1000</f>
        <v>0</v>
      </c>
      <c r="AI19" s="672" t="e">
        <f>'Water Dec'!AI19/1000</f>
        <v>#VALUE!</v>
      </c>
      <c r="AJ19" s="672">
        <f>'Water Dec'!AJ19/1000</f>
        <v>0</v>
      </c>
      <c r="AK19" s="672">
        <f>'Water Dec'!AK19/1000</f>
        <v>0</v>
      </c>
      <c r="AL19" s="672">
        <f>'Water Dec'!AL19/1000</f>
        <v>0</v>
      </c>
      <c r="AM19" s="672">
        <f>'Water Dec'!AM19/1000</f>
        <v>0</v>
      </c>
      <c r="AN19" s="672">
        <f>'Water Dec'!AN19/1000</f>
        <v>0</v>
      </c>
      <c r="AO19" s="672">
        <f>'Water Dec'!AO19/1000</f>
        <v>0</v>
      </c>
      <c r="AP19" s="672">
        <f>'Water Dec'!AP19/1000</f>
        <v>0</v>
      </c>
      <c r="AQ19" s="672">
        <f>'Water Dec'!AQ19/1000</f>
        <v>0</v>
      </c>
      <c r="AR19" s="672">
        <f>'Water Dec'!AR19/1000</f>
        <v>0</v>
      </c>
      <c r="AS19" s="672">
        <f>'Water Dec'!AS19/1000</f>
        <v>0</v>
      </c>
      <c r="AT19" s="672">
        <f>'Water Dec'!AT19/1000</f>
        <v>2974.777</v>
      </c>
      <c r="AU19" s="672">
        <f>'Water Dec'!AU19/1000</f>
        <v>141.04599999999999</v>
      </c>
      <c r="AV19" s="672">
        <f>'Water Dec'!AV19/1000</f>
        <v>36.427999999999997</v>
      </c>
      <c r="AW19" s="672">
        <f>'Water Dec'!AW19/1000</f>
        <v>3152.2510000000002</v>
      </c>
      <c r="AX19" s="672">
        <f>'Water Dec'!AX19/1000</f>
        <v>0</v>
      </c>
      <c r="AY19" s="672">
        <f>'Water Dec'!AY19/1000</f>
        <v>0</v>
      </c>
      <c r="AZ19" s="672">
        <f>'Water Dec'!AZ19/1000</f>
        <v>0</v>
      </c>
      <c r="BA19" s="672">
        <f>'Water Dec'!BA19/1000</f>
        <v>0</v>
      </c>
      <c r="BB19" s="672">
        <f>'Water Dec'!BB19/1000</f>
        <v>3152.2510000000002</v>
      </c>
      <c r="BC19" s="672" t="e">
        <f>'Water Dec'!BC19/1000</f>
        <v>#VALUE!</v>
      </c>
      <c r="BD19" s="672">
        <f>'Water Dec'!BD19/1000</f>
        <v>3152.2510000000002</v>
      </c>
      <c r="BE19" s="672">
        <f>'Water Dec'!BE19/1000</f>
        <v>3712.0417000000002</v>
      </c>
      <c r="BF19" s="672">
        <f>'Water Dec'!BF19/1000</f>
        <v>2878.9247</v>
      </c>
      <c r="BG19" s="677">
        <f t="shared" si="26"/>
        <v>0.7755636742981632</v>
      </c>
      <c r="BH19" s="633">
        <f t="shared" si="16"/>
        <v>5.6384086956521744E-2</v>
      </c>
      <c r="BI19" s="674">
        <f t="shared" si="6"/>
        <v>1.1985526802218115E-3</v>
      </c>
      <c r="BJ19" s="633">
        <f t="shared" si="36"/>
        <v>6.8527195652173911E-2</v>
      </c>
      <c r="BK19" s="675">
        <f t="shared" si="37"/>
        <v>1.456677911275416E-3</v>
      </c>
      <c r="BL19" s="676">
        <f>ROUND('Water Dec'!BL19,-3)</f>
        <v>46000</v>
      </c>
      <c r="BM19" s="676">
        <f>ROUND('Water Dec'!BM19,-3)</f>
        <v>0</v>
      </c>
      <c r="BN19" s="676">
        <f>ROUND('Water Dec'!BN19,-3)</f>
        <v>2164000</v>
      </c>
      <c r="BO19" s="636" t="s">
        <v>492</v>
      </c>
      <c r="BP19" s="637" t="s">
        <v>493</v>
      </c>
      <c r="BQ19" s="637" t="s">
        <v>460</v>
      </c>
      <c r="BR19" s="637"/>
      <c r="BS19" s="637"/>
      <c r="BT19" s="637" t="s">
        <v>485</v>
      </c>
      <c r="BU19" s="637" t="s">
        <v>464</v>
      </c>
      <c r="BV19" s="637" t="s">
        <v>465</v>
      </c>
      <c r="BW19" s="637" t="s">
        <v>467</v>
      </c>
      <c r="BX19" s="637" t="s">
        <v>475</v>
      </c>
      <c r="BY19" s="637" t="s">
        <v>468</v>
      </c>
      <c r="BZ19" s="637" t="s">
        <v>481</v>
      </c>
      <c r="CA19" s="637" t="s">
        <v>470</v>
      </c>
      <c r="CB19" s="638" t="s">
        <v>468</v>
      </c>
    </row>
    <row r="20" spans="1:82" ht="14.25" customHeight="1" x14ac:dyDescent="0.35">
      <c r="A20" s="671" t="s">
        <v>363</v>
      </c>
      <c r="B20" s="672">
        <f>'Water Dec'!B20/1000</f>
        <v>22041.643</v>
      </c>
      <c r="C20" s="672">
        <f>'Water Dec'!C20/1000</f>
        <v>0</v>
      </c>
      <c r="D20" s="672">
        <f>'Water Dec'!D20/1000</f>
        <v>0</v>
      </c>
      <c r="E20" s="672">
        <f>'Water Dec'!E20/1000</f>
        <v>192.696</v>
      </c>
      <c r="F20" s="672">
        <f>'Water Dec'!F20/1000</f>
        <v>0</v>
      </c>
      <c r="G20" s="672">
        <f>'Water Dec'!G20/1000</f>
        <v>0</v>
      </c>
      <c r="H20" s="672">
        <f>'Water Dec'!H20/1000</f>
        <v>0</v>
      </c>
      <c r="I20" s="672">
        <f>'Water Dec'!I20/1000</f>
        <v>0</v>
      </c>
      <c r="J20" s="672">
        <f>'Water Dec'!J20/1000</f>
        <v>22234.339</v>
      </c>
      <c r="K20" s="639" t="str">
        <f t="shared" si="15"/>
        <v>MATCH</v>
      </c>
      <c r="L20" s="672">
        <f>'Water Dec'!L20/1000</f>
        <v>22234.33898</v>
      </c>
      <c r="M20" s="672">
        <f>'Water Dec'!M20/1000</f>
        <v>0</v>
      </c>
      <c r="N20" s="672">
        <f>'Water Dec'!N20/1000</f>
        <v>0</v>
      </c>
      <c r="O20" s="672">
        <f>'Water Dec'!O20/1000</f>
        <v>0</v>
      </c>
      <c r="P20" s="672">
        <f>'Water Dec'!P20/1000</f>
        <v>0</v>
      </c>
      <c r="Q20" s="672">
        <f>'Water Dec'!Q20/1000</f>
        <v>0</v>
      </c>
      <c r="R20" s="672">
        <f>'Water Dec'!R20/1000</f>
        <v>0</v>
      </c>
      <c r="S20" s="672">
        <f>'Water Dec'!S20/1000</f>
        <v>0</v>
      </c>
      <c r="T20" s="672">
        <f>'Water Dec'!T20/1000</f>
        <v>0</v>
      </c>
      <c r="U20" s="672">
        <f>'Water Dec'!U20/1000</f>
        <v>0</v>
      </c>
      <c r="V20" s="624" t="str">
        <f t="shared" si="10"/>
        <v>MATCH</v>
      </c>
      <c r="W20" s="672">
        <f>'Water Dec'!W20/1000</f>
        <v>0</v>
      </c>
      <c r="X20" s="672">
        <f>'Water Dec'!X20/1000</f>
        <v>22234.33898</v>
      </c>
      <c r="Y20" s="672">
        <f>'Water Dec'!Y20/1000</f>
        <v>6483.9030000000002</v>
      </c>
      <c r="Z20" s="672">
        <f>'Water Dec'!Z20/1000</f>
        <v>20851.15998</v>
      </c>
      <c r="AA20" s="672">
        <f>'Water Dec'!AA20/1000</f>
        <v>14755.429</v>
      </c>
      <c r="AB20" s="672">
        <f>'Water Dec'!AB20/1000</f>
        <v>0</v>
      </c>
      <c r="AC20" s="672">
        <f>'Water Dec'!AC20/1000</f>
        <v>0</v>
      </c>
      <c r="AD20" s="672">
        <f>'Water Dec'!AD20/1000</f>
        <v>0</v>
      </c>
      <c r="AE20" s="672">
        <f>'Water Dec'!AE20/1000</f>
        <v>0</v>
      </c>
      <c r="AF20" s="672">
        <f>'Water Dec'!AF20/1000</f>
        <v>0</v>
      </c>
      <c r="AG20" s="672">
        <f>'Water Dec'!AG20/1000</f>
        <v>0</v>
      </c>
      <c r="AH20" s="672">
        <f>'Water Dec'!AH20/1000</f>
        <v>14755.429</v>
      </c>
      <c r="AI20" s="672" t="e">
        <f>'Water Dec'!AI20/1000</f>
        <v>#VALUE!</v>
      </c>
      <c r="AJ20" s="672">
        <f>'Water Dec'!AJ20/1000</f>
        <v>14755.429</v>
      </c>
      <c r="AK20" s="672">
        <f>'Water Dec'!AK20/1000</f>
        <v>0</v>
      </c>
      <c r="AL20" s="672">
        <f>'Water Dec'!AL20/1000</f>
        <v>0</v>
      </c>
      <c r="AM20" s="672">
        <f>'Water Dec'!AM20/1000</f>
        <v>0</v>
      </c>
      <c r="AN20" s="672">
        <f>'Water Dec'!AN20/1000</f>
        <v>0</v>
      </c>
      <c r="AO20" s="672">
        <f>'Water Dec'!AO20/1000</f>
        <v>0</v>
      </c>
      <c r="AP20" s="672">
        <f>'Water Dec'!AP20/1000</f>
        <v>0</v>
      </c>
      <c r="AQ20" s="672">
        <f>'Water Dec'!AQ20/1000</f>
        <v>0</v>
      </c>
      <c r="AR20" s="672">
        <f>'Water Dec'!AR20/1000</f>
        <v>0</v>
      </c>
      <c r="AS20" s="672">
        <f>'Water Dec'!AS20/1000</f>
        <v>14755.429</v>
      </c>
      <c r="AT20" s="672">
        <f>'Water Dec'!AT20/1000</f>
        <v>2647.9737799999998</v>
      </c>
      <c r="AU20" s="672">
        <f>'Water Dec'!AU20/1000</f>
        <v>0</v>
      </c>
      <c r="AV20" s="672">
        <f>'Water Dec'!AV20/1000</f>
        <v>388.35500000000002</v>
      </c>
      <c r="AW20" s="672">
        <f>'Water Dec'!AW20/1000</f>
        <v>3036.3287799999998</v>
      </c>
      <c r="AX20" s="672">
        <f>'Water Dec'!AX20/1000</f>
        <v>0</v>
      </c>
      <c r="AY20" s="672">
        <f>'Water Dec'!AY20/1000</f>
        <v>0</v>
      </c>
      <c r="AZ20" s="672">
        <f>'Water Dec'!AZ20/1000</f>
        <v>0</v>
      </c>
      <c r="BA20" s="672">
        <f>'Water Dec'!BA20/1000</f>
        <v>0</v>
      </c>
      <c r="BB20" s="672">
        <f>'Water Dec'!BB20/1000</f>
        <v>3036.3287799999998</v>
      </c>
      <c r="BC20" s="672" t="e">
        <f>'Water Dec'!BC20/1000</f>
        <v>#VALUE!</v>
      </c>
      <c r="BD20" s="672">
        <f>'Water Dec'!BD20/1000</f>
        <v>3036.3287799999998</v>
      </c>
      <c r="BE20" s="672">
        <f>'Water Dec'!BE20/1000</f>
        <v>4876.3958000000002</v>
      </c>
      <c r="BF20" s="672">
        <f>'Water Dec'!BF20/1000</f>
        <v>3598.6587999999997</v>
      </c>
      <c r="BG20" s="677">
        <f t="shared" si="26"/>
        <v>0.73797512498882878</v>
      </c>
      <c r="BH20" s="633">
        <f t="shared" si="16"/>
        <v>7.1723674129032258E-2</v>
      </c>
      <c r="BI20" s="674">
        <f t="shared" si="6"/>
        <v>6.9029304501707547E-3</v>
      </c>
      <c r="BJ20" s="633">
        <f>BD20/BL20</f>
        <v>9.794608967741935E-3</v>
      </c>
      <c r="BK20" s="675">
        <f t="shared" si="37"/>
        <v>9.4266649487736727E-4</v>
      </c>
      <c r="BL20" s="676">
        <f>ROUND('Water Dec'!BL20,-3)</f>
        <v>310000</v>
      </c>
      <c r="BM20" s="676">
        <f>ROUND('Water Dec'!BM20,-3)</f>
        <v>0</v>
      </c>
      <c r="BN20" s="676">
        <f>ROUND('Water Dec'!BN20,-3)</f>
        <v>3221000</v>
      </c>
      <c r="BO20" s="636" t="s">
        <v>492</v>
      </c>
      <c r="BP20" s="637" t="s">
        <v>483</v>
      </c>
      <c r="BQ20" s="637" t="s">
        <v>460</v>
      </c>
      <c r="BR20" s="637" t="s">
        <v>490</v>
      </c>
      <c r="BS20" s="637"/>
      <c r="BT20" s="637" t="s">
        <v>485</v>
      </c>
      <c r="BU20" s="637" t="s">
        <v>464</v>
      </c>
      <c r="BV20" s="637" t="s">
        <v>491</v>
      </c>
      <c r="BW20" s="637" t="s">
        <v>466</v>
      </c>
      <c r="BX20" s="637"/>
      <c r="BY20" s="637" t="s">
        <v>468</v>
      </c>
      <c r="BZ20" s="637" t="s">
        <v>469</v>
      </c>
      <c r="CA20" s="637" t="s">
        <v>470</v>
      </c>
      <c r="CB20" s="638" t="s">
        <v>468</v>
      </c>
    </row>
    <row r="21" spans="1:82" ht="14.25" customHeight="1" x14ac:dyDescent="0.35">
      <c r="A21" s="655" t="s">
        <v>364</v>
      </c>
      <c r="B21" s="656">
        <f t="shared" ref="B21:I21" si="58">B22</f>
        <v>0</v>
      </c>
      <c r="C21" s="657">
        <f t="shared" si="58"/>
        <v>6544.0134400000006</v>
      </c>
      <c r="D21" s="657">
        <f t="shared" si="58"/>
        <v>0</v>
      </c>
      <c r="E21" s="657">
        <f t="shared" si="58"/>
        <v>0</v>
      </c>
      <c r="F21" s="657">
        <f t="shared" si="58"/>
        <v>2.4</v>
      </c>
      <c r="G21" s="657">
        <f t="shared" si="58"/>
        <v>0</v>
      </c>
      <c r="H21" s="657">
        <f t="shared" si="58"/>
        <v>0</v>
      </c>
      <c r="I21" s="657">
        <f t="shared" si="58"/>
        <v>0</v>
      </c>
      <c r="J21" s="639">
        <f t="shared" si="19"/>
        <v>6546.4134400000003</v>
      </c>
      <c r="K21" s="639" t="str">
        <f t="shared" si="15"/>
        <v>MATCH</v>
      </c>
      <c r="L21" s="639">
        <f t="shared" ref="L21:BF21" si="59">L22</f>
        <v>6546.4134400000003</v>
      </c>
      <c r="M21" s="656">
        <f t="shared" si="59"/>
        <v>27335.411</v>
      </c>
      <c r="N21" s="658">
        <f t="shared" si="59"/>
        <v>0</v>
      </c>
      <c r="O21" s="658">
        <f t="shared" si="59"/>
        <v>0</v>
      </c>
      <c r="P21" s="658">
        <f t="shared" si="59"/>
        <v>0</v>
      </c>
      <c r="Q21" s="658">
        <f t="shared" si="59"/>
        <v>0</v>
      </c>
      <c r="R21" s="658">
        <f t="shared" si="59"/>
        <v>0</v>
      </c>
      <c r="S21" s="658">
        <f t="shared" si="59"/>
        <v>0</v>
      </c>
      <c r="T21" s="658">
        <f t="shared" si="59"/>
        <v>0</v>
      </c>
      <c r="U21" s="639">
        <f t="shared" si="40"/>
        <v>27335.411</v>
      </c>
      <c r="V21" s="624" t="str">
        <f t="shared" si="10"/>
        <v>MATCH</v>
      </c>
      <c r="W21" s="659">
        <f t="shared" si="59"/>
        <v>27335.411</v>
      </c>
      <c r="X21" s="659">
        <f t="shared" si="59"/>
        <v>33881.824439999997</v>
      </c>
      <c r="Y21" s="660">
        <f t="shared" si="59"/>
        <v>2463.4183800000001</v>
      </c>
      <c r="Z21" s="661">
        <f t="shared" si="59"/>
        <v>35068.022140000001</v>
      </c>
      <c r="AA21" s="656">
        <f t="shared" si="59"/>
        <v>0</v>
      </c>
      <c r="AB21" s="657">
        <f t="shared" si="59"/>
        <v>0</v>
      </c>
      <c r="AC21" s="657">
        <f t="shared" si="59"/>
        <v>0</v>
      </c>
      <c r="AD21" s="657">
        <f t="shared" si="59"/>
        <v>0</v>
      </c>
      <c r="AE21" s="657">
        <f t="shared" si="59"/>
        <v>0</v>
      </c>
      <c r="AF21" s="657">
        <f t="shared" si="59"/>
        <v>0</v>
      </c>
      <c r="AG21" s="657">
        <f t="shared" si="59"/>
        <v>0</v>
      </c>
      <c r="AH21" s="639">
        <f t="shared" si="12"/>
        <v>0</v>
      </c>
      <c r="AI21" s="639" t="str">
        <f t="shared" si="23"/>
        <v>MATCH</v>
      </c>
      <c r="AJ21" s="662">
        <f t="shared" si="59"/>
        <v>0</v>
      </c>
      <c r="AK21" s="656">
        <f t="shared" si="59"/>
        <v>24041.450699999998</v>
      </c>
      <c r="AL21" s="657">
        <f t="shared" si="59"/>
        <v>0</v>
      </c>
      <c r="AM21" s="657">
        <f t="shared" si="59"/>
        <v>0</v>
      </c>
      <c r="AN21" s="657">
        <f t="shared" si="59"/>
        <v>0</v>
      </c>
      <c r="AO21" s="657">
        <f t="shared" si="59"/>
        <v>0</v>
      </c>
      <c r="AP21" s="657">
        <f t="shared" si="59"/>
        <v>0</v>
      </c>
      <c r="AQ21" s="657">
        <f t="shared" si="59"/>
        <v>0</v>
      </c>
      <c r="AR21" s="662">
        <f t="shared" si="59"/>
        <v>24041.450699999998</v>
      </c>
      <c r="AS21" s="663">
        <f t="shared" si="4"/>
        <v>24041.450699999998</v>
      </c>
      <c r="AT21" s="656">
        <f>AT22</f>
        <v>1539.5558999999998</v>
      </c>
      <c r="AU21" s="657">
        <f t="shared" ref="AU21:AZ21" si="60">AU22</f>
        <v>34.538620000000002</v>
      </c>
      <c r="AV21" s="657">
        <f t="shared" si="60"/>
        <v>0</v>
      </c>
      <c r="AW21" s="657">
        <f t="shared" si="32"/>
        <v>1574.0945199999999</v>
      </c>
      <c r="AX21" s="657">
        <f>AX22</f>
        <v>0</v>
      </c>
      <c r="AY21" s="657">
        <f t="shared" si="60"/>
        <v>0</v>
      </c>
      <c r="AZ21" s="657">
        <f t="shared" si="60"/>
        <v>0</v>
      </c>
      <c r="BA21" s="657">
        <f t="shared" si="33"/>
        <v>0</v>
      </c>
      <c r="BB21" s="639">
        <f t="shared" si="14"/>
        <v>1574.0945199999999</v>
      </c>
      <c r="BC21" s="639" t="str">
        <f t="shared" si="25"/>
        <v>MATCH</v>
      </c>
      <c r="BD21" s="662">
        <f t="shared" si="59"/>
        <v>1574.0945200000001</v>
      </c>
      <c r="BE21" s="663">
        <f t="shared" si="59"/>
        <v>33731.156000000003</v>
      </c>
      <c r="BF21" s="660">
        <f t="shared" si="59"/>
        <v>26998.798999999999</v>
      </c>
      <c r="BG21" s="664">
        <f t="shared" si="26"/>
        <v>0.8004113170624807</v>
      </c>
      <c r="BH21" s="678">
        <f>BH22</f>
        <v>0.13994970855018585</v>
      </c>
      <c r="BI21" s="666">
        <f t="shared" si="6"/>
        <v>1.3177948909027263E-3</v>
      </c>
      <c r="BJ21" s="678">
        <f>BJ22</f>
        <v>6.5018361007848002E-3</v>
      </c>
      <c r="BK21" s="667">
        <f t="shared" si="37"/>
        <v>6.1222609777916072E-5</v>
      </c>
      <c r="BL21" s="668">
        <f>BL22</f>
        <v>0</v>
      </c>
      <c r="BM21" s="669">
        <f t="shared" ref="BM21:BN21" si="61">BM22</f>
        <v>242100000</v>
      </c>
      <c r="BN21" s="670">
        <f t="shared" si="61"/>
        <v>25711000</v>
      </c>
      <c r="BO21" s="636"/>
      <c r="BP21" s="637"/>
      <c r="BQ21" s="637"/>
      <c r="BR21" s="637"/>
      <c r="BS21" s="637"/>
      <c r="BT21" s="637"/>
      <c r="BU21" s="637"/>
      <c r="BV21" s="637"/>
      <c r="BW21" s="637"/>
      <c r="BX21" s="637"/>
      <c r="BY21" s="637"/>
      <c r="BZ21" s="637"/>
      <c r="CA21" s="637"/>
      <c r="CB21" s="638"/>
    </row>
    <row r="22" spans="1:82" ht="14.25" customHeight="1" x14ac:dyDescent="0.35">
      <c r="A22" s="671" t="s">
        <v>365</v>
      </c>
      <c r="B22" s="679">
        <f>'Water Dec'!B22/1000</f>
        <v>0</v>
      </c>
      <c r="C22" s="679">
        <f>'Water Dec'!C22/1000</f>
        <v>6544.0134400000006</v>
      </c>
      <c r="D22" s="679">
        <f>'Water Dec'!D22/1000</f>
        <v>0</v>
      </c>
      <c r="E22" s="679">
        <f>'Water Dec'!E22/1000</f>
        <v>0</v>
      </c>
      <c r="F22" s="679">
        <f>'Water Dec'!F22/1000</f>
        <v>2.4</v>
      </c>
      <c r="G22" s="679">
        <f>'Water Dec'!G22/1000</f>
        <v>0</v>
      </c>
      <c r="H22" s="679">
        <f>'Water Dec'!H22/1000</f>
        <v>0</v>
      </c>
      <c r="I22" s="679">
        <f>'Water Dec'!I22/1000</f>
        <v>0</v>
      </c>
      <c r="J22" s="679">
        <f>'Water Dec'!J22/1000</f>
        <v>6546.4134400000003</v>
      </c>
      <c r="K22" s="639" t="str">
        <f t="shared" si="15"/>
        <v>MATCH</v>
      </c>
      <c r="L22" s="679">
        <f>'Water Dec'!L22/1000</f>
        <v>6546.4134400000003</v>
      </c>
      <c r="M22" s="679">
        <f>'Water Dec'!M22/1000</f>
        <v>27335.411</v>
      </c>
      <c r="N22" s="679">
        <f>'Water Dec'!N22/1000</f>
        <v>0</v>
      </c>
      <c r="O22" s="679">
        <f>'Water Dec'!O22/1000</f>
        <v>0</v>
      </c>
      <c r="P22" s="679">
        <f>'Water Dec'!P22/1000</f>
        <v>0</v>
      </c>
      <c r="Q22" s="679">
        <f>'Water Dec'!Q22/1000</f>
        <v>0</v>
      </c>
      <c r="R22" s="679">
        <f>'Water Dec'!R22/1000</f>
        <v>0</v>
      </c>
      <c r="S22" s="679">
        <f>'Water Dec'!S22/1000</f>
        <v>0</v>
      </c>
      <c r="T22" s="679">
        <f>'Water Dec'!T22/1000</f>
        <v>0</v>
      </c>
      <c r="U22" s="679">
        <f>'Water Dec'!U22/1000</f>
        <v>27335.411</v>
      </c>
      <c r="V22" s="624" t="str">
        <f t="shared" si="10"/>
        <v>MATCH</v>
      </c>
      <c r="W22" s="679">
        <f>'Water Dec'!W22/1000</f>
        <v>27335.411</v>
      </c>
      <c r="X22" s="679">
        <f>'Water Dec'!X22/1000</f>
        <v>33881.824439999997</v>
      </c>
      <c r="Y22" s="679">
        <f>'Water Dec'!Y22/1000</f>
        <v>2463.4183800000001</v>
      </c>
      <c r="Z22" s="679">
        <f>'Water Dec'!Z22/1000</f>
        <v>35068.022140000001</v>
      </c>
      <c r="AA22" s="679">
        <f>'Water Dec'!AA22/1000</f>
        <v>0</v>
      </c>
      <c r="AB22" s="679">
        <f>'Water Dec'!AB22/1000</f>
        <v>0</v>
      </c>
      <c r="AC22" s="679">
        <f>'Water Dec'!AC22/1000</f>
        <v>0</v>
      </c>
      <c r="AD22" s="679">
        <f>'Water Dec'!AD22/1000</f>
        <v>0</v>
      </c>
      <c r="AE22" s="679">
        <f>'Water Dec'!AE22/1000</f>
        <v>0</v>
      </c>
      <c r="AF22" s="679">
        <f>'Water Dec'!AF22/1000</f>
        <v>0</v>
      </c>
      <c r="AG22" s="679">
        <f>'Water Dec'!AG22/1000</f>
        <v>0</v>
      </c>
      <c r="AH22" s="679">
        <f>'Water Dec'!AH22/1000</f>
        <v>0</v>
      </c>
      <c r="AI22" s="679" t="e">
        <f>'Water Dec'!AI22/1000</f>
        <v>#VALUE!</v>
      </c>
      <c r="AJ22" s="679">
        <f>'Water Dec'!AJ22/1000</f>
        <v>0</v>
      </c>
      <c r="AK22" s="679">
        <f>'Water Dec'!AK22/1000</f>
        <v>24041.450699999998</v>
      </c>
      <c r="AL22" s="679">
        <f>'Water Dec'!AL22/1000</f>
        <v>0</v>
      </c>
      <c r="AM22" s="679">
        <f>'Water Dec'!AM22/1000</f>
        <v>0</v>
      </c>
      <c r="AN22" s="679">
        <f>'Water Dec'!AN22/1000</f>
        <v>0</v>
      </c>
      <c r="AO22" s="679">
        <f>'Water Dec'!AO22/1000</f>
        <v>0</v>
      </c>
      <c r="AP22" s="679">
        <f>'Water Dec'!AP22/1000</f>
        <v>0</v>
      </c>
      <c r="AQ22" s="679">
        <f>'Water Dec'!AQ22/1000</f>
        <v>0</v>
      </c>
      <c r="AR22" s="679">
        <f>'Water Dec'!AR22/1000</f>
        <v>24041.450699999998</v>
      </c>
      <c r="AS22" s="679">
        <f>'Water Dec'!AS22/1000</f>
        <v>24041.450699999998</v>
      </c>
      <c r="AT22" s="679">
        <f>'Water Dec'!AT22/1000</f>
        <v>1539.5558999999998</v>
      </c>
      <c r="AU22" s="679">
        <f>'Water Dec'!AU22/1000</f>
        <v>34.538620000000002</v>
      </c>
      <c r="AV22" s="679">
        <f>'Water Dec'!AV22/1000</f>
        <v>0</v>
      </c>
      <c r="AW22" s="679">
        <f>'Water Dec'!AW22/1000</f>
        <v>1574.0945200000001</v>
      </c>
      <c r="AX22" s="679">
        <f>'Water Dec'!AX22/1000</f>
        <v>0</v>
      </c>
      <c r="AY22" s="679">
        <f>'Water Dec'!AY22/1000</f>
        <v>0</v>
      </c>
      <c r="AZ22" s="679">
        <f>'Water Dec'!AZ22/1000</f>
        <v>0</v>
      </c>
      <c r="BA22" s="679">
        <f>'Water Dec'!BA22/1000</f>
        <v>0</v>
      </c>
      <c r="BB22" s="679">
        <f>'Water Dec'!BB22/1000</f>
        <v>1574.0945200000001</v>
      </c>
      <c r="BC22" s="679" t="e">
        <f>'Water Dec'!BC22/1000</f>
        <v>#VALUE!</v>
      </c>
      <c r="BD22" s="679">
        <f>'Water Dec'!BD22/1000</f>
        <v>1574.0945200000001</v>
      </c>
      <c r="BE22" s="679">
        <f>'Water Dec'!BE22/1000</f>
        <v>33731.156000000003</v>
      </c>
      <c r="BF22" s="679">
        <f>'Water Dec'!BF22/1000</f>
        <v>26998.798999999999</v>
      </c>
      <c r="BG22" s="677">
        <f t="shared" si="26"/>
        <v>0.8004113170624807</v>
      </c>
      <c r="BH22" s="680">
        <f>(X22/BM22)*1000</f>
        <v>0.13994970855018585</v>
      </c>
      <c r="BI22" s="674">
        <f t="shared" si="6"/>
        <v>1.3177948909027263E-3</v>
      </c>
      <c r="BJ22" s="680">
        <f>(BD22/BM22)*1000</f>
        <v>6.5018361007848002E-3</v>
      </c>
      <c r="BK22" s="675">
        <f t="shared" si="37"/>
        <v>6.1222609777916072E-5</v>
      </c>
      <c r="BL22" s="676">
        <f>ROUND('Water Dec'!BL22,-3)</f>
        <v>0</v>
      </c>
      <c r="BM22" s="676">
        <f>ROUND('Water Dec'!BM22,-3)</f>
        <v>242100000</v>
      </c>
      <c r="BN22" s="676">
        <f>ROUND('Water Dec'!BN22,-3)</f>
        <v>25711000</v>
      </c>
      <c r="BO22" s="636" t="s">
        <v>494</v>
      </c>
      <c r="BP22" s="637" t="s">
        <v>493</v>
      </c>
      <c r="BQ22" s="637" t="s">
        <v>474</v>
      </c>
      <c r="BR22" s="637" t="s">
        <v>480</v>
      </c>
      <c r="BS22" s="637" t="s">
        <v>399</v>
      </c>
      <c r="BT22" s="637" t="s">
        <v>485</v>
      </c>
      <c r="BU22" s="637" t="s">
        <v>464</v>
      </c>
      <c r="BV22" s="637" t="s">
        <v>495</v>
      </c>
      <c r="BW22" s="637" t="s">
        <v>466</v>
      </c>
      <c r="BX22" s="637" t="s">
        <v>475</v>
      </c>
      <c r="BY22" s="637" t="s">
        <v>468</v>
      </c>
      <c r="BZ22" s="637" t="s">
        <v>476</v>
      </c>
      <c r="CA22" s="637" t="s">
        <v>456</v>
      </c>
      <c r="CB22" s="638" t="s">
        <v>496</v>
      </c>
    </row>
    <row r="23" spans="1:82" s="654" customFormat="1" ht="14.25" customHeight="1" x14ac:dyDescent="0.35">
      <c r="A23" s="640" t="s">
        <v>366</v>
      </c>
      <c r="B23" s="641">
        <f>B24+B26+B28+B31</f>
        <v>4102.9419005</v>
      </c>
      <c r="C23" s="641">
        <f t="shared" ref="C23:L23" si="62">C24+C26+C28+C31</f>
        <v>2569.5203436000002</v>
      </c>
      <c r="D23" s="641">
        <f t="shared" si="62"/>
        <v>21315.269</v>
      </c>
      <c r="E23" s="641">
        <f>E24+E26+E28+E31</f>
        <v>1055.2594959</v>
      </c>
      <c r="F23" s="641">
        <f t="shared" si="62"/>
        <v>0</v>
      </c>
      <c r="G23" s="641">
        <f t="shared" si="62"/>
        <v>2797.3870000000002</v>
      </c>
      <c r="H23" s="641">
        <f t="shared" si="62"/>
        <v>0</v>
      </c>
      <c r="I23" s="641">
        <f t="shared" si="62"/>
        <v>0</v>
      </c>
      <c r="J23" s="641">
        <f t="shared" si="62"/>
        <v>31840.37774</v>
      </c>
      <c r="K23" s="639" t="str">
        <f t="shared" si="15"/>
        <v>MATCH</v>
      </c>
      <c r="L23" s="641">
        <f t="shared" si="62"/>
        <v>31840.37774</v>
      </c>
      <c r="M23" s="641">
        <f>M24+M26+M28+M31</f>
        <v>1334.10447</v>
      </c>
      <c r="N23" s="641">
        <f t="shared" ref="N23:U23" si="63">N24+N26+N28+N31</f>
        <v>3397.6529999999998</v>
      </c>
      <c r="O23" s="641">
        <f t="shared" si="63"/>
        <v>0</v>
      </c>
      <c r="P23" s="641">
        <f t="shared" si="63"/>
        <v>85.56</v>
      </c>
      <c r="Q23" s="641">
        <f t="shared" si="63"/>
        <v>0</v>
      </c>
      <c r="R23" s="641">
        <f t="shared" si="63"/>
        <v>0</v>
      </c>
      <c r="S23" s="641">
        <f t="shared" si="63"/>
        <v>0</v>
      </c>
      <c r="T23" s="641">
        <f t="shared" si="63"/>
        <v>0</v>
      </c>
      <c r="U23" s="641">
        <f t="shared" si="63"/>
        <v>4817.31747</v>
      </c>
      <c r="V23" s="624" t="str">
        <f t="shared" si="10"/>
        <v>MATCH</v>
      </c>
      <c r="W23" s="644">
        <f>W24+W26+W28+W31</f>
        <v>4817.31747</v>
      </c>
      <c r="X23" s="644">
        <f>X24+X26+X28+X31</f>
        <v>36657.695210000005</v>
      </c>
      <c r="Y23" s="644">
        <f t="shared" ref="Y23:AH23" si="64">Y24+Y26+Y28+Y31</f>
        <v>-2301.9438799999998</v>
      </c>
      <c r="Z23" s="644">
        <f t="shared" si="64"/>
        <v>13389.418379999999</v>
      </c>
      <c r="AA23" s="644">
        <f t="shared" si="64"/>
        <v>13500.341409999999</v>
      </c>
      <c r="AB23" s="644">
        <f t="shared" si="64"/>
        <v>0</v>
      </c>
      <c r="AC23" s="644">
        <f t="shared" si="64"/>
        <v>0</v>
      </c>
      <c r="AD23" s="644">
        <f t="shared" si="64"/>
        <v>0</v>
      </c>
      <c r="AE23" s="644">
        <f t="shared" si="64"/>
        <v>0</v>
      </c>
      <c r="AF23" s="644">
        <f t="shared" si="64"/>
        <v>0</v>
      </c>
      <c r="AG23" s="644">
        <f t="shared" si="64"/>
        <v>4274.4390000000003</v>
      </c>
      <c r="AH23" s="644">
        <f t="shared" si="64"/>
        <v>17774.780409999999</v>
      </c>
      <c r="AI23" s="624" t="str">
        <f t="shared" si="23"/>
        <v>MATCH</v>
      </c>
      <c r="AJ23" s="647">
        <f>AJ24+AJ26+AJ28+AJ31</f>
        <v>17774.780409999999</v>
      </c>
      <c r="AK23" s="647">
        <f t="shared" ref="AK23:AQ23" si="65">AK24+AK26+AK28+AK31</f>
        <v>202.82900000000001</v>
      </c>
      <c r="AL23" s="647">
        <f t="shared" si="65"/>
        <v>0</v>
      </c>
      <c r="AM23" s="647">
        <f t="shared" si="65"/>
        <v>0</v>
      </c>
      <c r="AN23" s="647">
        <f t="shared" si="65"/>
        <v>211.5231</v>
      </c>
      <c r="AO23" s="647">
        <f t="shared" si="65"/>
        <v>0</v>
      </c>
      <c r="AP23" s="647">
        <f t="shared" si="65"/>
        <v>0</v>
      </c>
      <c r="AQ23" s="647">
        <f t="shared" si="65"/>
        <v>0</v>
      </c>
      <c r="AR23" s="647">
        <f>AR24+AR26+AR28+AR31</f>
        <v>414.35210000000001</v>
      </c>
      <c r="AS23" s="647">
        <f t="shared" ref="AS23:BB23" si="66">AS24+AS26+AS28+AS31</f>
        <v>18189.132509999999</v>
      </c>
      <c r="AT23" s="647">
        <f t="shared" si="66"/>
        <v>1517.9800500000001</v>
      </c>
      <c r="AU23" s="647">
        <f t="shared" si="66"/>
        <v>31.800999999999998</v>
      </c>
      <c r="AV23" s="647">
        <f t="shared" si="66"/>
        <v>13140.727560000001</v>
      </c>
      <c r="AW23" s="647">
        <f t="shared" si="66"/>
        <v>14690.508610000001</v>
      </c>
      <c r="AX23" s="647">
        <f t="shared" si="66"/>
        <v>290.93420000000003</v>
      </c>
      <c r="AY23" s="647">
        <f t="shared" si="66"/>
        <v>6927.3982699999997</v>
      </c>
      <c r="AZ23" s="647">
        <f t="shared" si="66"/>
        <v>0</v>
      </c>
      <c r="BA23" s="647">
        <f t="shared" si="66"/>
        <v>7218.3324699999994</v>
      </c>
      <c r="BB23" s="647">
        <f t="shared" si="66"/>
        <v>21908.841079999998</v>
      </c>
      <c r="BC23" s="624" t="str">
        <f>IF(ROUND(BB23,0)=ROUND(BD23,0),"MATCH","FIX NEEDED")</f>
        <v>MATCH</v>
      </c>
      <c r="BD23" s="647">
        <f>BD24+BD26+BD28+BD31</f>
        <v>21908.841079999998</v>
      </c>
      <c r="BE23" s="647">
        <f t="shared" ref="BE23:BN23" si="67">BE24+BE26+BE28+BE31</f>
        <v>170243.58722000002</v>
      </c>
      <c r="BF23" s="647">
        <f t="shared" si="67"/>
        <v>135614.03262000001</v>
      </c>
      <c r="BG23" s="681">
        <f t="shared" si="26"/>
        <v>0.79658819949999404</v>
      </c>
      <c r="BH23" s="682">
        <f t="shared" ref="BH23" si="68">X23/BL23</f>
        <v>3.0522643805162369E-2</v>
      </c>
      <c r="BI23" s="682">
        <f t="shared" si="6"/>
        <v>1.1696775753031272E-3</v>
      </c>
      <c r="BJ23" s="682">
        <f>BD23/BL23</f>
        <v>1.824216576186511E-2</v>
      </c>
      <c r="BK23" s="682">
        <f>BD23/BN23</f>
        <v>6.9906959412890869E-4</v>
      </c>
      <c r="BL23" s="647">
        <f t="shared" si="67"/>
        <v>1201000</v>
      </c>
      <c r="BM23" s="647">
        <f t="shared" si="67"/>
        <v>0</v>
      </c>
      <c r="BN23" s="647">
        <f t="shared" si="67"/>
        <v>31340000</v>
      </c>
      <c r="BO23" s="636"/>
      <c r="BP23" s="637"/>
      <c r="BQ23" s="637"/>
      <c r="BR23" s="637"/>
      <c r="BS23" s="637"/>
      <c r="BT23" s="637"/>
      <c r="BU23" s="637"/>
      <c r="BV23" s="637"/>
      <c r="BW23" s="637"/>
      <c r="BX23" s="637"/>
      <c r="BY23" s="637"/>
      <c r="BZ23" s="637"/>
      <c r="CA23" s="637"/>
      <c r="CB23" s="638"/>
      <c r="CC23" s="653"/>
      <c r="CD23" s="653"/>
    </row>
    <row r="24" spans="1:82" ht="14.25" customHeight="1" x14ac:dyDescent="0.35">
      <c r="A24" s="655" t="s">
        <v>367</v>
      </c>
      <c r="B24" s="656">
        <f>SUM(B25:B25)</f>
        <v>183.32400000000001</v>
      </c>
      <c r="C24" s="657">
        <f>SUM(C25)</f>
        <v>0</v>
      </c>
      <c r="D24" s="657">
        <f t="shared" ref="D24:I24" si="69">SUM(D25:D25)</f>
        <v>0</v>
      </c>
      <c r="E24" s="657">
        <f>SUM(E25:E25)</f>
        <v>126.08757000000001</v>
      </c>
      <c r="F24" s="657">
        <f t="shared" si="69"/>
        <v>0</v>
      </c>
      <c r="G24" s="657">
        <f t="shared" si="69"/>
        <v>0</v>
      </c>
      <c r="H24" s="657">
        <f t="shared" si="69"/>
        <v>0</v>
      </c>
      <c r="I24" s="657">
        <f t="shared" si="69"/>
        <v>0</v>
      </c>
      <c r="J24" s="639">
        <f t="shared" si="19"/>
        <v>309.41157000000004</v>
      </c>
      <c r="K24" s="639" t="str">
        <f t="shared" si="15"/>
        <v>MATCH</v>
      </c>
      <c r="L24" s="639">
        <f t="shared" ref="L24:T24" si="70">SUM(L25:L25)</f>
        <v>309.41156999999998</v>
      </c>
      <c r="M24" s="656">
        <f t="shared" si="70"/>
        <v>1334.10447</v>
      </c>
      <c r="N24" s="658">
        <f t="shared" si="70"/>
        <v>0</v>
      </c>
      <c r="O24" s="658">
        <f t="shared" si="70"/>
        <v>0</v>
      </c>
      <c r="P24" s="658">
        <f t="shared" si="70"/>
        <v>0</v>
      </c>
      <c r="Q24" s="658">
        <f t="shared" si="70"/>
        <v>0</v>
      </c>
      <c r="R24" s="658">
        <f t="shared" si="70"/>
        <v>0</v>
      </c>
      <c r="S24" s="658">
        <f t="shared" si="70"/>
        <v>0</v>
      </c>
      <c r="T24" s="658">
        <f t="shared" si="70"/>
        <v>0</v>
      </c>
      <c r="U24" s="639">
        <f t="shared" si="40"/>
        <v>1334.10447</v>
      </c>
      <c r="V24" s="624" t="str">
        <f t="shared" si="10"/>
        <v>MATCH</v>
      </c>
      <c r="W24" s="659">
        <f t="shared" ref="W24:AG24" si="71">SUM(W25:W25)</f>
        <v>1334.10447</v>
      </c>
      <c r="X24" s="659">
        <f t="shared" si="71"/>
        <v>1643.51604</v>
      </c>
      <c r="Y24" s="660">
        <f t="shared" si="71"/>
        <v>0</v>
      </c>
      <c r="Z24" s="661">
        <f t="shared" si="71"/>
        <v>0</v>
      </c>
      <c r="AA24" s="656">
        <f t="shared" si="71"/>
        <v>0</v>
      </c>
      <c r="AB24" s="657">
        <f t="shared" si="71"/>
        <v>0</v>
      </c>
      <c r="AC24" s="657">
        <f t="shared" si="71"/>
        <v>0</v>
      </c>
      <c r="AD24" s="657">
        <f t="shared" si="71"/>
        <v>0</v>
      </c>
      <c r="AE24" s="657">
        <f t="shared" si="71"/>
        <v>0</v>
      </c>
      <c r="AF24" s="657">
        <f t="shared" si="71"/>
        <v>0</v>
      </c>
      <c r="AG24" s="657">
        <f t="shared" si="71"/>
        <v>0</v>
      </c>
      <c r="AH24" s="639">
        <f t="shared" si="12"/>
        <v>0</v>
      </c>
      <c r="AI24" s="639" t="str">
        <f t="shared" si="23"/>
        <v>MATCH</v>
      </c>
      <c r="AJ24" s="662">
        <f t="shared" ref="AJ24:AR24" si="72">SUM(AJ25:AJ25)</f>
        <v>0</v>
      </c>
      <c r="AK24" s="656">
        <f t="shared" si="72"/>
        <v>0</v>
      </c>
      <c r="AL24" s="657">
        <f t="shared" si="72"/>
        <v>0</v>
      </c>
      <c r="AM24" s="657">
        <f t="shared" si="72"/>
        <v>0</v>
      </c>
      <c r="AN24" s="657">
        <f t="shared" si="72"/>
        <v>211.5231</v>
      </c>
      <c r="AO24" s="657">
        <f t="shared" si="72"/>
        <v>0</v>
      </c>
      <c r="AP24" s="657">
        <f t="shared" si="72"/>
        <v>0</v>
      </c>
      <c r="AQ24" s="657">
        <f t="shared" si="72"/>
        <v>0</v>
      </c>
      <c r="AR24" s="662">
        <f t="shared" si="72"/>
        <v>211.5231</v>
      </c>
      <c r="AS24" s="663">
        <f t="shared" ref="AS24:AS50" si="73">SUM(AJ24+AR24)</f>
        <v>211.5231</v>
      </c>
      <c r="AT24" s="656">
        <f t="shared" ref="AT24:BB24" si="74">SUM(AT25:AT25)</f>
        <v>0</v>
      </c>
      <c r="AU24" s="657">
        <f t="shared" si="74"/>
        <v>0</v>
      </c>
      <c r="AV24" s="657">
        <f t="shared" si="74"/>
        <v>0</v>
      </c>
      <c r="AW24" s="657">
        <f t="shared" si="74"/>
        <v>0</v>
      </c>
      <c r="AX24" s="657">
        <f t="shared" si="74"/>
        <v>290.93420000000003</v>
      </c>
      <c r="AY24" s="657">
        <f t="shared" si="74"/>
        <v>1136.80627</v>
      </c>
      <c r="AZ24" s="657">
        <f t="shared" si="74"/>
        <v>0</v>
      </c>
      <c r="BA24" s="657">
        <f t="shared" si="74"/>
        <v>1427.74047</v>
      </c>
      <c r="BB24" s="639">
        <f t="shared" si="74"/>
        <v>1427.74047</v>
      </c>
      <c r="BC24" s="639" t="str">
        <f t="shared" si="25"/>
        <v>MATCH</v>
      </c>
      <c r="BD24" s="662">
        <f>SUM(BD25:BD25)</f>
        <v>1427.74047</v>
      </c>
      <c r="BE24" s="659">
        <f>SUM(BE25:BE25)</f>
        <v>33083.503920000003</v>
      </c>
      <c r="BF24" s="662">
        <f>SUM(BF25:BF25)</f>
        <v>31693.851129999999</v>
      </c>
      <c r="BG24" s="664">
        <f t="shared" si="26"/>
        <v>0.95799559824859071</v>
      </c>
      <c r="BH24" s="665">
        <f t="shared" ref="BH24:BH56" si="75">X24/BL24</f>
        <v>4.7776629069767439E-3</v>
      </c>
      <c r="BI24" s="666">
        <f t="shared" ref="BI24:BI55" si="76">X24/BN24</f>
        <v>7.3935671420216831E-5</v>
      </c>
      <c r="BJ24" s="665">
        <f>BD24/BL24</f>
        <v>4.150408343023256E-3</v>
      </c>
      <c r="BK24" s="667">
        <f>BD24/BN24</f>
        <v>6.4228731386926983E-5</v>
      </c>
      <c r="BL24" s="668">
        <f>SUM(BL25:BL25)</f>
        <v>344000</v>
      </c>
      <c r="BM24" s="669">
        <f>SUM(BM25:BM25)</f>
        <v>0</v>
      </c>
      <c r="BN24" s="670">
        <f>SUM(BN25:BN25)</f>
        <v>22229000</v>
      </c>
      <c r="BO24" s="636"/>
      <c r="BP24" s="637"/>
      <c r="BQ24" s="637"/>
      <c r="BR24" s="637"/>
      <c r="BS24" s="637"/>
      <c r="BT24" s="637"/>
      <c r="BU24" s="637"/>
      <c r="BV24" s="637"/>
      <c r="BW24" s="637"/>
      <c r="BX24" s="637"/>
      <c r="BY24" s="637"/>
      <c r="BZ24" s="637"/>
      <c r="CA24" s="637"/>
      <c r="CB24" s="638"/>
    </row>
    <row r="25" spans="1:82" ht="14.25" customHeight="1" x14ac:dyDescent="0.35">
      <c r="A25" s="671" t="s">
        <v>368</v>
      </c>
      <c r="B25" s="672">
        <f>'Water Dec'!B25/1000</f>
        <v>183.32400000000001</v>
      </c>
      <c r="C25" s="672">
        <f>'Water Dec'!C25/1000</f>
        <v>0</v>
      </c>
      <c r="D25" s="672">
        <f>'Water Dec'!D25/1000</f>
        <v>0</v>
      </c>
      <c r="E25" s="672">
        <f>'Water Dec'!E25/1000</f>
        <v>126.08757000000001</v>
      </c>
      <c r="F25" s="672">
        <f>'Water Dec'!F25/1000</f>
        <v>0</v>
      </c>
      <c r="G25" s="672">
        <f>'Water Dec'!G25/1000</f>
        <v>0</v>
      </c>
      <c r="H25" s="672">
        <f>'Water Dec'!H25/1000</f>
        <v>0</v>
      </c>
      <c r="I25" s="672">
        <f>'Water Dec'!I25/1000</f>
        <v>0</v>
      </c>
      <c r="J25" s="672">
        <f>'Water Dec'!J25/1000</f>
        <v>309.41156999999998</v>
      </c>
      <c r="K25" s="639" t="str">
        <f t="shared" si="15"/>
        <v>MATCH</v>
      </c>
      <c r="L25" s="672">
        <f>'Water Dec'!L25/1000</f>
        <v>309.41156999999998</v>
      </c>
      <c r="M25" s="672">
        <f>'Water Dec'!M25/1000</f>
        <v>1334.10447</v>
      </c>
      <c r="N25" s="672">
        <f>'Water Dec'!N25/1000</f>
        <v>0</v>
      </c>
      <c r="O25" s="672">
        <f>'Water Dec'!O25/1000</f>
        <v>0</v>
      </c>
      <c r="P25" s="672">
        <f>'Water Dec'!P25/1000</f>
        <v>0</v>
      </c>
      <c r="Q25" s="672">
        <f>'Water Dec'!Q25/1000</f>
        <v>0</v>
      </c>
      <c r="R25" s="672">
        <f>'Water Dec'!R25/1000</f>
        <v>0</v>
      </c>
      <c r="S25" s="672">
        <f>'Water Dec'!S25/1000</f>
        <v>0</v>
      </c>
      <c r="T25" s="672">
        <f>'Water Dec'!T25/1000</f>
        <v>0</v>
      </c>
      <c r="U25" s="672">
        <f>'Water Dec'!U25/1000</f>
        <v>1334.10447</v>
      </c>
      <c r="V25" s="624" t="str">
        <f t="shared" si="10"/>
        <v>MATCH</v>
      </c>
      <c r="W25" s="672">
        <f>'Water Dec'!W25/1000</f>
        <v>1334.10447</v>
      </c>
      <c r="X25" s="672">
        <f>'Water Dec'!X25/1000</f>
        <v>1643.51604</v>
      </c>
      <c r="Y25" s="672">
        <f>'Water Dec'!Y25/1000</f>
        <v>0</v>
      </c>
      <c r="Z25" s="672">
        <f>'Water Dec'!Z25/1000</f>
        <v>0</v>
      </c>
      <c r="AA25" s="672">
        <f>'Water Dec'!AA25/1000</f>
        <v>0</v>
      </c>
      <c r="AB25" s="672">
        <f>'Water Dec'!AB25/1000</f>
        <v>0</v>
      </c>
      <c r="AC25" s="672">
        <f>'Water Dec'!AC25/1000</f>
        <v>0</v>
      </c>
      <c r="AD25" s="672">
        <f>'Water Dec'!AD25/1000</f>
        <v>0</v>
      </c>
      <c r="AE25" s="672">
        <f>'Water Dec'!AE25/1000</f>
        <v>0</v>
      </c>
      <c r="AF25" s="672">
        <f>'Water Dec'!AF25/1000</f>
        <v>0</v>
      </c>
      <c r="AG25" s="672">
        <f>'Water Dec'!AG25/1000</f>
        <v>0</v>
      </c>
      <c r="AH25" s="672">
        <f>'Water Dec'!AH25/1000</f>
        <v>0</v>
      </c>
      <c r="AI25" s="672" t="e">
        <f>'Water Dec'!AI25/1000</f>
        <v>#VALUE!</v>
      </c>
      <c r="AJ25" s="672">
        <f>'Water Dec'!AJ25/1000</f>
        <v>0</v>
      </c>
      <c r="AK25" s="672">
        <f>'Water Dec'!AK25/1000</f>
        <v>0</v>
      </c>
      <c r="AL25" s="672">
        <f>'Water Dec'!AL25/1000</f>
        <v>0</v>
      </c>
      <c r="AM25" s="672">
        <f>'Water Dec'!AM25/1000</f>
        <v>0</v>
      </c>
      <c r="AN25" s="672">
        <f>'Water Dec'!AN25/1000</f>
        <v>211.5231</v>
      </c>
      <c r="AO25" s="672">
        <f>'Water Dec'!AO25/1000</f>
        <v>0</v>
      </c>
      <c r="AP25" s="672">
        <f>'Water Dec'!AP25/1000</f>
        <v>0</v>
      </c>
      <c r="AQ25" s="672">
        <f>'Water Dec'!AQ25/1000</f>
        <v>0</v>
      </c>
      <c r="AR25" s="672">
        <f>'Water Dec'!AR25/1000</f>
        <v>211.5231</v>
      </c>
      <c r="AS25" s="672">
        <f>'Water Dec'!AS25/1000</f>
        <v>211.5231</v>
      </c>
      <c r="AT25" s="672">
        <f>'Water Dec'!AT25/1000</f>
        <v>0</v>
      </c>
      <c r="AU25" s="672">
        <f>'Water Dec'!AU25/1000</f>
        <v>0</v>
      </c>
      <c r="AV25" s="672">
        <f>'Water Dec'!AV25/1000</f>
        <v>0</v>
      </c>
      <c r="AW25" s="672">
        <f>'Water Dec'!AW25/1000</f>
        <v>0</v>
      </c>
      <c r="AX25" s="672">
        <f>'Water Dec'!AX25/1000</f>
        <v>290.93420000000003</v>
      </c>
      <c r="AY25" s="672">
        <f>'Water Dec'!AY25/1000</f>
        <v>1136.80627</v>
      </c>
      <c r="AZ25" s="672">
        <f>'Water Dec'!AZ25/1000</f>
        <v>0</v>
      </c>
      <c r="BA25" s="672">
        <f>'Water Dec'!BA25/1000</f>
        <v>1427.74047</v>
      </c>
      <c r="BB25" s="672">
        <f>'Water Dec'!BB25/1000</f>
        <v>1427.74047</v>
      </c>
      <c r="BC25" s="672" t="e">
        <f>'Water Dec'!BC25/1000</f>
        <v>#VALUE!</v>
      </c>
      <c r="BD25" s="672">
        <f>'Water Dec'!BD25/1000</f>
        <v>1427.74047</v>
      </c>
      <c r="BE25" s="672">
        <f>'Water Dec'!BE25/1000</f>
        <v>33083.503920000003</v>
      </c>
      <c r="BF25" s="672">
        <f>'Water Dec'!BF25/1000</f>
        <v>31693.851129999999</v>
      </c>
      <c r="BG25" s="677">
        <f t="shared" si="26"/>
        <v>0.95799559824859071</v>
      </c>
      <c r="BH25" s="633">
        <f t="shared" si="75"/>
        <v>4.7776629069767439E-3</v>
      </c>
      <c r="BI25" s="674">
        <f t="shared" si="76"/>
        <v>7.3935671420216831E-5</v>
      </c>
      <c r="BJ25" s="633">
        <f t="shared" ref="BJ25" si="77">BD25/BL25</f>
        <v>4.150408343023256E-3</v>
      </c>
      <c r="BK25" s="675">
        <f t="shared" ref="BK25" si="78">BD25/BN25</f>
        <v>6.4228731386926983E-5</v>
      </c>
      <c r="BL25" s="676">
        <f>ROUND('Water Dec'!BL25,-3)</f>
        <v>344000</v>
      </c>
      <c r="BM25" s="676">
        <f>ROUND('Water Dec'!BM25,-3)</f>
        <v>0</v>
      </c>
      <c r="BN25" s="676">
        <f>ROUND('Water Dec'!BN25,-3)</f>
        <v>22229000</v>
      </c>
      <c r="BO25" s="636" t="s">
        <v>497</v>
      </c>
      <c r="BP25" s="637" t="s">
        <v>498</v>
      </c>
      <c r="BQ25" s="637" t="s">
        <v>499</v>
      </c>
      <c r="BR25" s="637" t="s">
        <v>474</v>
      </c>
      <c r="BS25" s="637" t="s">
        <v>500</v>
      </c>
      <c r="BT25" s="637" t="s">
        <v>465</v>
      </c>
      <c r="BU25" s="637" t="s">
        <v>464</v>
      </c>
      <c r="BV25" s="637" t="s">
        <v>501</v>
      </c>
      <c r="BW25" s="637" t="s">
        <v>467</v>
      </c>
      <c r="BX25" s="637" t="s">
        <v>475</v>
      </c>
      <c r="BY25" s="637" t="s">
        <v>502</v>
      </c>
      <c r="BZ25" s="637" t="s">
        <v>495</v>
      </c>
      <c r="CA25" s="637" t="s">
        <v>456</v>
      </c>
      <c r="CB25" s="638" t="s">
        <v>502</v>
      </c>
    </row>
    <row r="26" spans="1:82" ht="14.25" customHeight="1" x14ac:dyDescent="0.35">
      <c r="A26" s="683" t="s">
        <v>374</v>
      </c>
      <c r="B26" s="656">
        <f t="shared" ref="B26:I26" si="79">B27</f>
        <v>1528.0730000000001</v>
      </c>
      <c r="C26" s="657">
        <f t="shared" si="79"/>
        <v>0</v>
      </c>
      <c r="D26" s="657">
        <f t="shared" si="79"/>
        <v>21312.269</v>
      </c>
      <c r="E26" s="657">
        <f>E27</f>
        <v>0</v>
      </c>
      <c r="F26" s="657">
        <f t="shared" si="79"/>
        <v>0</v>
      </c>
      <c r="G26" s="657">
        <f t="shared" si="79"/>
        <v>2797.3870000000002</v>
      </c>
      <c r="H26" s="657">
        <f t="shared" si="79"/>
        <v>0</v>
      </c>
      <c r="I26" s="657">
        <f t="shared" si="79"/>
        <v>0</v>
      </c>
      <c r="J26" s="639">
        <f t="shared" si="19"/>
        <v>25637.728999999999</v>
      </c>
      <c r="K26" s="639" t="str">
        <f t="shared" si="15"/>
        <v>MATCH</v>
      </c>
      <c r="L26" s="639">
        <f t="shared" ref="L26:BF26" si="80">L27</f>
        <v>25637.728999999999</v>
      </c>
      <c r="M26" s="656">
        <f t="shared" si="80"/>
        <v>0</v>
      </c>
      <c r="N26" s="658">
        <f t="shared" si="80"/>
        <v>3397.6529999999998</v>
      </c>
      <c r="O26" s="658">
        <f t="shared" si="80"/>
        <v>0</v>
      </c>
      <c r="P26" s="658">
        <f t="shared" si="80"/>
        <v>0</v>
      </c>
      <c r="Q26" s="658">
        <f t="shared" si="80"/>
        <v>0</v>
      </c>
      <c r="R26" s="658">
        <f t="shared" si="80"/>
        <v>0</v>
      </c>
      <c r="S26" s="658">
        <f t="shared" si="80"/>
        <v>0</v>
      </c>
      <c r="T26" s="658">
        <f t="shared" si="80"/>
        <v>0</v>
      </c>
      <c r="U26" s="639">
        <f t="shared" si="40"/>
        <v>3397.6529999999998</v>
      </c>
      <c r="V26" s="624" t="str">
        <f t="shared" si="10"/>
        <v>MATCH</v>
      </c>
      <c r="W26" s="659">
        <f t="shared" si="80"/>
        <v>3397.6529999999998</v>
      </c>
      <c r="X26" s="659">
        <f t="shared" si="80"/>
        <v>29035.382000000001</v>
      </c>
      <c r="Y26" s="660">
        <f t="shared" si="80"/>
        <v>-1159.36076</v>
      </c>
      <c r="Z26" s="661">
        <f t="shared" si="80"/>
        <v>9866.8310000000001</v>
      </c>
      <c r="AA26" s="656">
        <f t="shared" si="80"/>
        <v>12048.632</v>
      </c>
      <c r="AB26" s="657">
        <f t="shared" si="80"/>
        <v>0</v>
      </c>
      <c r="AC26" s="657">
        <f t="shared" si="80"/>
        <v>0</v>
      </c>
      <c r="AD26" s="657">
        <f t="shared" si="80"/>
        <v>0</v>
      </c>
      <c r="AE26" s="657">
        <f t="shared" si="80"/>
        <v>0</v>
      </c>
      <c r="AF26" s="657">
        <f t="shared" si="80"/>
        <v>0</v>
      </c>
      <c r="AG26" s="657">
        <f t="shared" si="80"/>
        <v>0</v>
      </c>
      <c r="AH26" s="639">
        <f t="shared" si="12"/>
        <v>12048.632</v>
      </c>
      <c r="AI26" s="639" t="str">
        <f t="shared" si="23"/>
        <v>MATCH</v>
      </c>
      <c r="AJ26" s="662">
        <f t="shared" si="80"/>
        <v>12048.632</v>
      </c>
      <c r="AK26" s="656">
        <f t="shared" si="80"/>
        <v>0</v>
      </c>
      <c r="AL26" s="657">
        <f t="shared" si="80"/>
        <v>0</v>
      </c>
      <c r="AM26" s="657">
        <f t="shared" si="80"/>
        <v>0</v>
      </c>
      <c r="AN26" s="657">
        <f t="shared" si="80"/>
        <v>0</v>
      </c>
      <c r="AO26" s="657">
        <f t="shared" si="80"/>
        <v>0</v>
      </c>
      <c r="AP26" s="657">
        <f t="shared" si="80"/>
        <v>0</v>
      </c>
      <c r="AQ26" s="657">
        <f t="shared" si="80"/>
        <v>0</v>
      </c>
      <c r="AR26" s="662">
        <f t="shared" si="80"/>
        <v>0</v>
      </c>
      <c r="AS26" s="663">
        <f t="shared" si="73"/>
        <v>12048.632</v>
      </c>
      <c r="AT26" s="656">
        <f>AT27</f>
        <v>896.68876</v>
      </c>
      <c r="AU26" s="657">
        <f t="shared" ref="AU26:BB26" si="81">AU27</f>
        <v>0</v>
      </c>
      <c r="AV26" s="657">
        <f t="shared" si="81"/>
        <v>13095.182000000001</v>
      </c>
      <c r="AW26" s="657">
        <f t="shared" si="81"/>
        <v>13991.87076</v>
      </c>
      <c r="AX26" s="657">
        <f t="shared" si="81"/>
        <v>0</v>
      </c>
      <c r="AY26" s="657">
        <f t="shared" si="81"/>
        <v>5790.5919999999996</v>
      </c>
      <c r="AZ26" s="657">
        <f t="shared" si="81"/>
        <v>0</v>
      </c>
      <c r="BA26" s="657">
        <f>BA27</f>
        <v>5790.5919999999996</v>
      </c>
      <c r="BB26" s="639">
        <f t="shared" si="81"/>
        <v>19782.462759999999</v>
      </c>
      <c r="BC26" s="639" t="str">
        <f t="shared" si="25"/>
        <v>MATCH</v>
      </c>
      <c r="BD26" s="662">
        <f t="shared" si="80"/>
        <v>19782.462759999999</v>
      </c>
      <c r="BE26" s="659">
        <f t="shared" si="80"/>
        <v>85106.971999999994</v>
      </c>
      <c r="BF26" s="662">
        <f t="shared" si="80"/>
        <v>56215.631000000001</v>
      </c>
      <c r="BG26" s="664">
        <f t="shared" si="26"/>
        <v>0.6605290927281493</v>
      </c>
      <c r="BH26" s="666">
        <f t="shared" si="75"/>
        <v>3.5670002457002456E-2</v>
      </c>
      <c r="BI26" s="666">
        <f t="shared" si="76"/>
        <v>3.1868490835254091E-3</v>
      </c>
      <c r="BJ26" s="666">
        <f>BD26/BL26</f>
        <v>2.4302779803439801E-2</v>
      </c>
      <c r="BK26" s="667">
        <f>BD26/BN26</f>
        <v>2.1712723916145317E-3</v>
      </c>
      <c r="BL26" s="668">
        <f>BL27</f>
        <v>814000</v>
      </c>
      <c r="BM26" s="669">
        <f t="shared" ref="BM26:BN26" si="82">BM27</f>
        <v>0</v>
      </c>
      <c r="BN26" s="670">
        <f t="shared" si="82"/>
        <v>9111000</v>
      </c>
      <c r="BO26" s="636"/>
      <c r="BP26" s="637"/>
      <c r="BQ26" s="637"/>
      <c r="BR26" s="637"/>
      <c r="BS26" s="637"/>
      <c r="BT26" s="637"/>
      <c r="BU26" s="637"/>
      <c r="BV26" s="637"/>
      <c r="BW26" s="637"/>
      <c r="BX26" s="637"/>
      <c r="BY26" s="637"/>
      <c r="BZ26" s="637"/>
      <c r="CA26" s="637"/>
      <c r="CB26" s="638"/>
    </row>
    <row r="27" spans="1:82" ht="14.25" customHeight="1" x14ac:dyDescent="0.35">
      <c r="A27" s="684" t="s">
        <v>375</v>
      </c>
      <c r="B27" s="679">
        <f>'Water Dec'!B27/1000</f>
        <v>1528.0730000000001</v>
      </c>
      <c r="C27" s="679">
        <f>'Water Dec'!C27/1000</f>
        <v>0</v>
      </c>
      <c r="D27" s="679">
        <f>'Water Dec'!D27/1000</f>
        <v>21312.269</v>
      </c>
      <c r="E27" s="679">
        <f>'Water Dec'!E27/1000</f>
        <v>0</v>
      </c>
      <c r="F27" s="679">
        <f>'Water Dec'!F27/1000</f>
        <v>0</v>
      </c>
      <c r="G27" s="679">
        <f>'Water Dec'!G27/1000</f>
        <v>2797.3870000000002</v>
      </c>
      <c r="H27" s="679">
        <f>'Water Dec'!H27/1000</f>
        <v>0</v>
      </c>
      <c r="I27" s="679">
        <f>'Water Dec'!I27/1000</f>
        <v>0</v>
      </c>
      <c r="J27" s="679">
        <f>'Water Dec'!J27/1000</f>
        <v>25637.728999999999</v>
      </c>
      <c r="K27" s="639" t="str">
        <f t="shared" si="15"/>
        <v>MATCH</v>
      </c>
      <c r="L27" s="679">
        <f>'Water Dec'!L27/1000</f>
        <v>25637.728999999999</v>
      </c>
      <c r="M27" s="679">
        <f>'Water Dec'!M27/1000</f>
        <v>0</v>
      </c>
      <c r="N27" s="679">
        <f>'Water Dec'!N27/1000</f>
        <v>3397.6529999999998</v>
      </c>
      <c r="O27" s="679">
        <f>'Water Dec'!O27/1000</f>
        <v>0</v>
      </c>
      <c r="P27" s="679">
        <f>'Water Dec'!P27/1000</f>
        <v>0</v>
      </c>
      <c r="Q27" s="679">
        <f>'Water Dec'!Q27/1000</f>
        <v>0</v>
      </c>
      <c r="R27" s="679">
        <f>'Water Dec'!R27/1000</f>
        <v>0</v>
      </c>
      <c r="S27" s="679">
        <f>'Water Dec'!S27/1000</f>
        <v>0</v>
      </c>
      <c r="T27" s="679">
        <f>'Water Dec'!T27/1000</f>
        <v>0</v>
      </c>
      <c r="U27" s="679">
        <f>'Water Dec'!U27/1000</f>
        <v>3397.6529999999998</v>
      </c>
      <c r="V27" s="624" t="str">
        <f t="shared" si="10"/>
        <v>MATCH</v>
      </c>
      <c r="W27" s="679">
        <f>'Water Dec'!W27/1000</f>
        <v>3397.6529999999998</v>
      </c>
      <c r="X27" s="679">
        <f>'Water Dec'!X27/1000</f>
        <v>29035.382000000001</v>
      </c>
      <c r="Y27" s="679">
        <f>'Water Dec'!Y27/1000</f>
        <v>-1159.36076</v>
      </c>
      <c r="Z27" s="679">
        <f>'Water Dec'!Z27/1000</f>
        <v>9866.8310000000001</v>
      </c>
      <c r="AA27" s="679">
        <f>'Water Dec'!AA27/1000</f>
        <v>12048.632</v>
      </c>
      <c r="AB27" s="679">
        <f>'Water Dec'!AB27/1000</f>
        <v>0</v>
      </c>
      <c r="AC27" s="679">
        <f>'Water Dec'!AC27/1000</f>
        <v>0</v>
      </c>
      <c r="AD27" s="679">
        <f>'Water Dec'!AD27/1000</f>
        <v>0</v>
      </c>
      <c r="AE27" s="679">
        <f>'Water Dec'!AE27/1000</f>
        <v>0</v>
      </c>
      <c r="AF27" s="679">
        <f>'Water Dec'!AF27/1000</f>
        <v>0</v>
      </c>
      <c r="AG27" s="679">
        <f>'Water Dec'!AG27/1000</f>
        <v>0</v>
      </c>
      <c r="AH27" s="679">
        <f>'Water Dec'!AH27/1000</f>
        <v>12048.632</v>
      </c>
      <c r="AI27" s="679" t="e">
        <f>'Water Dec'!AI27/1000</f>
        <v>#VALUE!</v>
      </c>
      <c r="AJ27" s="679">
        <f>'Water Dec'!AJ27/1000</f>
        <v>12048.632</v>
      </c>
      <c r="AK27" s="679">
        <f>'Water Dec'!AK27/1000</f>
        <v>0</v>
      </c>
      <c r="AL27" s="679">
        <f>'Water Dec'!AL27/1000</f>
        <v>0</v>
      </c>
      <c r="AM27" s="679">
        <f>'Water Dec'!AM27/1000</f>
        <v>0</v>
      </c>
      <c r="AN27" s="679">
        <f>'Water Dec'!AN27/1000</f>
        <v>0</v>
      </c>
      <c r="AO27" s="679">
        <f>'Water Dec'!AO27/1000</f>
        <v>0</v>
      </c>
      <c r="AP27" s="679">
        <f>'Water Dec'!AP27/1000</f>
        <v>0</v>
      </c>
      <c r="AQ27" s="679">
        <f>'Water Dec'!AQ27/1000</f>
        <v>0</v>
      </c>
      <c r="AR27" s="679">
        <f>'Water Dec'!AR27/1000</f>
        <v>0</v>
      </c>
      <c r="AS27" s="679">
        <f>'Water Dec'!AS27/1000</f>
        <v>12048.632</v>
      </c>
      <c r="AT27" s="679">
        <f>'Water Dec'!AT27/1000</f>
        <v>896.68876</v>
      </c>
      <c r="AU27" s="679">
        <f>'Water Dec'!AU27/1000</f>
        <v>0</v>
      </c>
      <c r="AV27" s="679">
        <f>'Water Dec'!AV27/1000</f>
        <v>13095.182000000001</v>
      </c>
      <c r="AW27" s="679">
        <f>'Water Dec'!AW27/1000</f>
        <v>13991.87076</v>
      </c>
      <c r="AX27" s="679">
        <f>'Water Dec'!AX27/1000</f>
        <v>0</v>
      </c>
      <c r="AY27" s="679">
        <f>'Water Dec'!AY27/1000</f>
        <v>5790.5919999999996</v>
      </c>
      <c r="AZ27" s="679">
        <f>'Water Dec'!AZ27/1000</f>
        <v>0</v>
      </c>
      <c r="BA27" s="679">
        <f>'Water Dec'!BA27/1000</f>
        <v>5790.5919999999996</v>
      </c>
      <c r="BB27" s="679">
        <f>'Water Dec'!BB27/1000</f>
        <v>19782.462759999999</v>
      </c>
      <c r="BC27" s="679" t="e">
        <f>'Water Dec'!BC27/1000</f>
        <v>#VALUE!</v>
      </c>
      <c r="BD27" s="679">
        <f>'Water Dec'!BD27/1000</f>
        <v>19782.462759999999</v>
      </c>
      <c r="BE27" s="679">
        <f>'Water Dec'!BE27/1000</f>
        <v>85106.971999999994</v>
      </c>
      <c r="BF27" s="679">
        <f>'Water Dec'!BF27/1000</f>
        <v>56215.631000000001</v>
      </c>
      <c r="BG27" s="677">
        <f t="shared" si="26"/>
        <v>0.6605290927281493</v>
      </c>
      <c r="BH27" s="633">
        <f t="shared" si="75"/>
        <v>3.5670002457002456E-2</v>
      </c>
      <c r="BI27" s="674">
        <f t="shared" si="76"/>
        <v>3.1868490835254091E-3</v>
      </c>
      <c r="BJ27" s="633">
        <f t="shared" ref="BJ27" si="83">BD27/BL27</f>
        <v>2.4302779803439801E-2</v>
      </c>
      <c r="BK27" s="675">
        <f t="shared" ref="BK27" si="84">BD27/BN27</f>
        <v>2.1712723916145317E-3</v>
      </c>
      <c r="BL27" s="676">
        <f>ROUND('Water Dec'!BL27,-3)</f>
        <v>814000</v>
      </c>
      <c r="BM27" s="685">
        <f>ROUND('Water Dec'!BM27,-3)</f>
        <v>0</v>
      </c>
      <c r="BN27" s="686">
        <f>ROUND('Water Dec'!BN27,-3)</f>
        <v>9111000</v>
      </c>
      <c r="BO27" s="636" t="s">
        <v>503</v>
      </c>
      <c r="BP27" s="637" t="s">
        <v>493</v>
      </c>
      <c r="BQ27" s="637" t="s">
        <v>474</v>
      </c>
      <c r="BR27" s="637" t="s">
        <v>504</v>
      </c>
      <c r="BS27" s="637" t="s">
        <v>480</v>
      </c>
      <c r="BT27" s="637" t="s">
        <v>463</v>
      </c>
      <c r="BU27" s="637" t="s">
        <v>464</v>
      </c>
      <c r="BV27" s="637" t="s">
        <v>463</v>
      </c>
      <c r="BW27" s="637" t="s">
        <v>466</v>
      </c>
      <c r="BX27" s="637" t="s">
        <v>475</v>
      </c>
      <c r="BY27" s="637" t="s">
        <v>468</v>
      </c>
      <c r="BZ27" s="637" t="s">
        <v>469</v>
      </c>
      <c r="CA27" s="637" t="s">
        <v>456</v>
      </c>
      <c r="CB27" s="638" t="s">
        <v>496</v>
      </c>
    </row>
    <row r="28" spans="1:82" ht="14.25" customHeight="1" x14ac:dyDescent="0.35">
      <c r="A28" s="683" t="s">
        <v>376</v>
      </c>
      <c r="B28" s="656">
        <f t="shared" ref="B28:I28" si="85">SUM(B29:B30)</f>
        <v>2391.5449005</v>
      </c>
      <c r="C28" s="657">
        <f t="shared" si="85"/>
        <v>198.5637036</v>
      </c>
      <c r="D28" s="657">
        <f t="shared" si="85"/>
        <v>3</v>
      </c>
      <c r="E28" s="657">
        <f>SUM(E29:E30)</f>
        <v>929.17192590000002</v>
      </c>
      <c r="F28" s="657">
        <f t="shared" si="85"/>
        <v>0</v>
      </c>
      <c r="G28" s="657">
        <f t="shared" si="85"/>
        <v>0</v>
      </c>
      <c r="H28" s="657">
        <f t="shared" si="85"/>
        <v>0</v>
      </c>
      <c r="I28" s="657">
        <f t="shared" si="85"/>
        <v>0</v>
      </c>
      <c r="J28" s="639">
        <f>SUM(J29:J30)</f>
        <v>3522.2805300000005</v>
      </c>
      <c r="K28" s="639" t="str">
        <f t="shared" si="15"/>
        <v>MATCH</v>
      </c>
      <c r="L28" s="639">
        <f>SUM(L29:L30)</f>
        <v>3522.28053</v>
      </c>
      <c r="M28" s="656">
        <f t="shared" ref="M28:BF28" si="86">SUM(M29:M30)</f>
        <v>0</v>
      </c>
      <c r="N28" s="658">
        <f t="shared" si="86"/>
        <v>0</v>
      </c>
      <c r="O28" s="658">
        <f t="shared" si="86"/>
        <v>0</v>
      </c>
      <c r="P28" s="658">
        <f t="shared" si="86"/>
        <v>85.56</v>
      </c>
      <c r="Q28" s="658">
        <f t="shared" si="86"/>
        <v>0</v>
      </c>
      <c r="R28" s="658">
        <f t="shared" si="86"/>
        <v>0</v>
      </c>
      <c r="S28" s="658">
        <f t="shared" si="86"/>
        <v>0</v>
      </c>
      <c r="T28" s="658">
        <f t="shared" si="86"/>
        <v>0</v>
      </c>
      <c r="U28" s="639">
        <f t="shared" si="40"/>
        <v>85.56</v>
      </c>
      <c r="V28" s="624" t="str">
        <f t="shared" si="10"/>
        <v>MATCH</v>
      </c>
      <c r="W28" s="659">
        <f t="shared" si="86"/>
        <v>85.56</v>
      </c>
      <c r="X28" s="659">
        <f t="shared" si="86"/>
        <v>3607.8405299999999</v>
      </c>
      <c r="Y28" s="660">
        <f t="shared" si="86"/>
        <v>293.45427999999998</v>
      </c>
      <c r="Z28" s="661">
        <f t="shared" si="86"/>
        <v>3522.5873799999999</v>
      </c>
      <c r="AA28" s="656">
        <f t="shared" si="86"/>
        <v>1451.7094099999999</v>
      </c>
      <c r="AB28" s="657">
        <f t="shared" si="86"/>
        <v>0</v>
      </c>
      <c r="AC28" s="657">
        <f t="shared" si="86"/>
        <v>0</v>
      </c>
      <c r="AD28" s="657">
        <f t="shared" si="86"/>
        <v>0</v>
      </c>
      <c r="AE28" s="657">
        <f t="shared" si="86"/>
        <v>0</v>
      </c>
      <c r="AF28" s="657">
        <f t="shared" si="86"/>
        <v>0</v>
      </c>
      <c r="AG28" s="657">
        <f t="shared" si="86"/>
        <v>1164.039</v>
      </c>
      <c r="AH28" s="639">
        <f t="shared" si="12"/>
        <v>2615.7484100000001</v>
      </c>
      <c r="AI28" s="639" t="str">
        <f t="shared" si="23"/>
        <v>MATCH</v>
      </c>
      <c r="AJ28" s="662">
        <f t="shared" si="86"/>
        <v>2615.7484100000001</v>
      </c>
      <c r="AK28" s="656">
        <f t="shared" si="86"/>
        <v>0</v>
      </c>
      <c r="AL28" s="657">
        <f t="shared" si="86"/>
        <v>0</v>
      </c>
      <c r="AM28" s="657">
        <f t="shared" si="86"/>
        <v>0</v>
      </c>
      <c r="AN28" s="657">
        <f t="shared" si="86"/>
        <v>0</v>
      </c>
      <c r="AO28" s="657">
        <f t="shared" si="86"/>
        <v>0</v>
      </c>
      <c r="AP28" s="657">
        <f t="shared" si="86"/>
        <v>0</v>
      </c>
      <c r="AQ28" s="657">
        <f t="shared" si="86"/>
        <v>0</v>
      </c>
      <c r="AR28" s="662">
        <f t="shared" si="86"/>
        <v>0</v>
      </c>
      <c r="AS28" s="663">
        <f t="shared" si="73"/>
        <v>2615.7484100000001</v>
      </c>
      <c r="AT28" s="656">
        <f>SUM(AT29:AT30)</f>
        <v>621.29129</v>
      </c>
      <c r="AU28" s="657">
        <f t="shared" ref="AU28:BB28" si="87">SUM(AU29:AU30)</f>
        <v>31.800999999999998</v>
      </c>
      <c r="AV28" s="657">
        <f t="shared" si="87"/>
        <v>45.545560000000002</v>
      </c>
      <c r="AW28" s="657">
        <f t="shared" si="87"/>
        <v>698.63785000000007</v>
      </c>
      <c r="AX28" s="657">
        <f t="shared" si="87"/>
        <v>0</v>
      </c>
      <c r="AY28" s="657">
        <f t="shared" si="87"/>
        <v>0</v>
      </c>
      <c r="AZ28" s="657">
        <f t="shared" si="87"/>
        <v>0</v>
      </c>
      <c r="BA28" s="657">
        <f t="shared" si="87"/>
        <v>0</v>
      </c>
      <c r="BB28" s="639">
        <f t="shared" si="87"/>
        <v>698.63785000000007</v>
      </c>
      <c r="BC28" s="639" t="str">
        <f t="shared" si="25"/>
        <v>MATCH</v>
      </c>
      <c r="BD28" s="662">
        <f t="shared" si="86"/>
        <v>698.63785000000007</v>
      </c>
      <c r="BE28" s="659">
        <f t="shared" si="86"/>
        <v>49682.155020000006</v>
      </c>
      <c r="BF28" s="662">
        <f t="shared" si="86"/>
        <v>47704.550489999994</v>
      </c>
      <c r="BG28" s="664">
        <f t="shared" si="26"/>
        <v>0.96019487219900368</v>
      </c>
      <c r="BH28" s="666">
        <f t="shared" si="75"/>
        <v>8.3903268139534887E-2</v>
      </c>
      <c r="BI28" s="666">
        <v>0</v>
      </c>
      <c r="BJ28" s="666">
        <f>BD28/BL28</f>
        <v>1.6247391860465119E-2</v>
      </c>
      <c r="BK28" s="667">
        <v>0</v>
      </c>
      <c r="BL28" s="668">
        <f>SUM(BL29:BL30)</f>
        <v>43000</v>
      </c>
      <c r="BM28" s="669">
        <f t="shared" ref="BM28:BN28" si="88">SUM(BM29:BM30)</f>
        <v>0</v>
      </c>
      <c r="BN28" s="670">
        <f t="shared" si="88"/>
        <v>0</v>
      </c>
      <c r="BO28" s="636"/>
      <c r="BP28" s="637"/>
      <c r="BQ28" s="637"/>
      <c r="BR28" s="637"/>
      <c r="BS28" s="637"/>
      <c r="BT28" s="637"/>
      <c r="BU28" s="637"/>
      <c r="BV28" s="637"/>
      <c r="BW28" s="637"/>
      <c r="BX28" s="637"/>
      <c r="BY28" s="637"/>
      <c r="BZ28" s="637"/>
      <c r="CA28" s="637"/>
      <c r="CB28" s="638"/>
    </row>
    <row r="29" spans="1:82" ht="14.25" customHeight="1" x14ac:dyDescent="0.35">
      <c r="A29" s="671" t="s">
        <v>377</v>
      </c>
      <c r="B29" s="672">
        <f>'Water Dec'!B29/1000</f>
        <v>1406.4929004999999</v>
      </c>
      <c r="C29" s="672">
        <f>'Water Dec'!C29/1000</f>
        <v>198.5637036</v>
      </c>
      <c r="D29" s="672">
        <f>'Water Dec'!D29/1000</f>
        <v>3</v>
      </c>
      <c r="E29" s="672">
        <f>'Water Dec'!E29/1000</f>
        <v>46.640925900000028</v>
      </c>
      <c r="F29" s="672">
        <f>'Water Dec'!F29/1000</f>
        <v>0</v>
      </c>
      <c r="G29" s="672">
        <f>'Water Dec'!G29/1000</f>
        <v>0</v>
      </c>
      <c r="H29" s="672">
        <f>'Water Dec'!H29/1000</f>
        <v>0</v>
      </c>
      <c r="I29" s="672">
        <f>'Water Dec'!I29/1000</f>
        <v>0</v>
      </c>
      <c r="J29" s="672">
        <f>'Water Dec'!J29/1000</f>
        <v>1654.6975300000004</v>
      </c>
      <c r="K29" s="639" t="str">
        <f t="shared" si="15"/>
        <v>MATCH</v>
      </c>
      <c r="L29" s="672">
        <f>'Water Dec'!L29/1000</f>
        <v>1654.6975299999999</v>
      </c>
      <c r="M29" s="672">
        <f>'Water Dec'!M29/1000</f>
        <v>0</v>
      </c>
      <c r="N29" s="672">
        <f>'Water Dec'!N29/1000</f>
        <v>0</v>
      </c>
      <c r="O29" s="672">
        <f>'Water Dec'!O29/1000</f>
        <v>0</v>
      </c>
      <c r="P29" s="672">
        <f>'Water Dec'!P29/1000</f>
        <v>0</v>
      </c>
      <c r="Q29" s="672">
        <f>'Water Dec'!Q29/1000</f>
        <v>0</v>
      </c>
      <c r="R29" s="672">
        <f>'Water Dec'!R29/1000</f>
        <v>0</v>
      </c>
      <c r="S29" s="672">
        <f>'Water Dec'!S29/1000</f>
        <v>0</v>
      </c>
      <c r="T29" s="672">
        <f>'Water Dec'!T29/1000</f>
        <v>0</v>
      </c>
      <c r="U29" s="672">
        <f>'Water Dec'!U29/1000</f>
        <v>0</v>
      </c>
      <c r="V29" s="624" t="str">
        <f t="shared" si="10"/>
        <v>MATCH</v>
      </c>
      <c r="W29" s="672">
        <f>'Water Dec'!W29/1000</f>
        <v>0</v>
      </c>
      <c r="X29" s="672">
        <f>'Water Dec'!X29/1000</f>
        <v>1654.6975299999999</v>
      </c>
      <c r="Y29" s="672">
        <f>'Water Dec'!Y29/1000</f>
        <v>152.06227999999999</v>
      </c>
      <c r="Z29" s="672">
        <f>'Water Dec'!Z29/1000</f>
        <v>1808.9773799999998</v>
      </c>
      <c r="AA29" s="672">
        <f>'Water Dec'!AA29/1000</f>
        <v>1377.5964099999999</v>
      </c>
      <c r="AB29" s="672">
        <f>'Water Dec'!AB29/1000</f>
        <v>0</v>
      </c>
      <c r="AC29" s="672">
        <f>'Water Dec'!AC29/1000</f>
        <v>0</v>
      </c>
      <c r="AD29" s="672">
        <f>'Water Dec'!AD29/1000</f>
        <v>0</v>
      </c>
      <c r="AE29" s="672">
        <f>'Water Dec'!AE29/1000</f>
        <v>0</v>
      </c>
      <c r="AF29" s="672">
        <f>'Water Dec'!AF29/1000</f>
        <v>0</v>
      </c>
      <c r="AG29" s="672">
        <f>'Water Dec'!AG29/1000</f>
        <v>0</v>
      </c>
      <c r="AH29" s="672">
        <f>'Water Dec'!AH29/1000</f>
        <v>1377.5964099999999</v>
      </c>
      <c r="AI29" s="672" t="e">
        <f>'Water Dec'!AI29/1000</f>
        <v>#VALUE!</v>
      </c>
      <c r="AJ29" s="672">
        <f>'Water Dec'!AJ29/1000</f>
        <v>1377.5964099999999</v>
      </c>
      <c r="AK29" s="672">
        <f>'Water Dec'!AK29/1000</f>
        <v>0</v>
      </c>
      <c r="AL29" s="672">
        <f>'Water Dec'!AL29/1000</f>
        <v>0</v>
      </c>
      <c r="AM29" s="672">
        <f>'Water Dec'!AM29/1000</f>
        <v>0</v>
      </c>
      <c r="AN29" s="672">
        <f>'Water Dec'!AN29/1000</f>
        <v>0</v>
      </c>
      <c r="AO29" s="672">
        <f>'Water Dec'!AO29/1000</f>
        <v>0</v>
      </c>
      <c r="AP29" s="672">
        <f>'Water Dec'!AP29/1000</f>
        <v>0</v>
      </c>
      <c r="AQ29" s="672">
        <f>'Water Dec'!AQ29/1000</f>
        <v>0</v>
      </c>
      <c r="AR29" s="672">
        <f>'Water Dec'!AR29/1000</f>
        <v>0</v>
      </c>
      <c r="AS29" s="672">
        <f>'Water Dec'!AS29/1000</f>
        <v>1377.5964099999999</v>
      </c>
      <c r="AT29" s="672">
        <f>'Water Dec'!AT29/1000</f>
        <v>104.08628999999999</v>
      </c>
      <c r="AU29" s="672">
        <f>'Water Dec'!AU29/1000</f>
        <v>0</v>
      </c>
      <c r="AV29" s="672">
        <f>'Water Dec'!AV29/1000</f>
        <v>20.952560000000002</v>
      </c>
      <c r="AW29" s="672">
        <f>'Water Dec'!AW29/1000</f>
        <v>125.03885</v>
      </c>
      <c r="AX29" s="672">
        <f>'Water Dec'!AX29/1000</f>
        <v>0</v>
      </c>
      <c r="AY29" s="672">
        <f>'Water Dec'!AY29/1000</f>
        <v>0</v>
      </c>
      <c r="AZ29" s="672">
        <f>'Water Dec'!AZ29/1000</f>
        <v>0</v>
      </c>
      <c r="BA29" s="672">
        <f>'Water Dec'!BA29/1000</f>
        <v>0</v>
      </c>
      <c r="BB29" s="672">
        <f>'Water Dec'!BB29/1000</f>
        <v>125.03885</v>
      </c>
      <c r="BC29" s="672" t="e">
        <f>'Water Dec'!BC29/1000</f>
        <v>#VALUE!</v>
      </c>
      <c r="BD29" s="672">
        <f>'Water Dec'!BD29/1000</f>
        <v>125.03885</v>
      </c>
      <c r="BE29" s="672">
        <f>'Water Dec'!BE29/1000</f>
        <v>34564.552020000003</v>
      </c>
      <c r="BF29" s="672">
        <f>'Water Dec'!BF29/1000</f>
        <v>32909.854489999998</v>
      </c>
      <c r="BG29" s="677">
        <f t="shared" si="26"/>
        <v>0.95212732602341987</v>
      </c>
      <c r="BH29" s="633">
        <f t="shared" si="75"/>
        <v>0.103418595625</v>
      </c>
      <c r="BI29" s="674" t="s">
        <v>505</v>
      </c>
      <c r="BJ29" s="633">
        <f t="shared" ref="BJ29:BJ30" si="89">BD29/BL29</f>
        <v>7.8149281250000004E-3</v>
      </c>
      <c r="BK29" s="674" t="s">
        <v>505</v>
      </c>
      <c r="BL29" s="676">
        <f>ROUND('Water Dec'!BL29,-3)</f>
        <v>16000</v>
      </c>
      <c r="BM29" s="685">
        <f>ROUND('Water Dec'!BM29,-3)</f>
        <v>0</v>
      </c>
      <c r="BN29" s="686">
        <f>ROUND('Water Dec'!BN29,-3)</f>
        <v>0</v>
      </c>
      <c r="BO29" s="636" t="s">
        <v>506</v>
      </c>
      <c r="BP29" s="637" t="s">
        <v>493</v>
      </c>
      <c r="BQ29" s="637" t="s">
        <v>474</v>
      </c>
      <c r="BR29" s="637" t="s">
        <v>504</v>
      </c>
      <c r="BS29" s="637" t="s">
        <v>479</v>
      </c>
      <c r="BT29" s="637" t="s">
        <v>465</v>
      </c>
      <c r="BU29" s="637" t="s">
        <v>464</v>
      </c>
      <c r="BV29" s="637" t="s">
        <v>463</v>
      </c>
      <c r="BW29" s="637" t="s">
        <v>467</v>
      </c>
      <c r="BX29" s="637" t="s">
        <v>466</v>
      </c>
      <c r="BY29" s="637" t="s">
        <v>468</v>
      </c>
      <c r="BZ29" s="637" t="s">
        <v>481</v>
      </c>
      <c r="CA29" s="637" t="s">
        <v>456</v>
      </c>
      <c r="CB29" s="638" t="s">
        <v>496</v>
      </c>
    </row>
    <row r="30" spans="1:82" ht="14.25" customHeight="1" x14ac:dyDescent="0.35">
      <c r="A30" s="671" t="s">
        <v>507</v>
      </c>
      <c r="B30" s="672">
        <f>'Water Dec'!B30/1000</f>
        <v>985.05200000000002</v>
      </c>
      <c r="C30" s="672">
        <f>'Water Dec'!C30/1000</f>
        <v>0</v>
      </c>
      <c r="D30" s="672">
        <f>'Water Dec'!D30/1000</f>
        <v>0</v>
      </c>
      <c r="E30" s="672">
        <f>'Water Dec'!E30/1000</f>
        <v>882.53099999999995</v>
      </c>
      <c r="F30" s="672">
        <f>'Water Dec'!F30/1000</f>
        <v>0</v>
      </c>
      <c r="G30" s="672">
        <f>'Water Dec'!G30/1000</f>
        <v>0</v>
      </c>
      <c r="H30" s="672">
        <f>'Water Dec'!H30/1000</f>
        <v>0</v>
      </c>
      <c r="I30" s="672">
        <f>'Water Dec'!I30/1000</f>
        <v>0</v>
      </c>
      <c r="J30" s="672">
        <f>'Water Dec'!J30/1000</f>
        <v>1867.5830000000001</v>
      </c>
      <c r="K30" s="639" t="str">
        <f t="shared" si="15"/>
        <v>MATCH</v>
      </c>
      <c r="L30" s="672">
        <f>'Water Dec'!L30/1000</f>
        <v>1867.5830000000001</v>
      </c>
      <c r="M30" s="672">
        <f>'Water Dec'!M30/1000</f>
        <v>0</v>
      </c>
      <c r="N30" s="672">
        <f>'Water Dec'!N30/1000</f>
        <v>0</v>
      </c>
      <c r="O30" s="672">
        <f>'Water Dec'!O30/1000</f>
        <v>0</v>
      </c>
      <c r="P30" s="672">
        <f>'Water Dec'!P30/1000</f>
        <v>85.56</v>
      </c>
      <c r="Q30" s="672">
        <f>'Water Dec'!Q30/1000</f>
        <v>0</v>
      </c>
      <c r="R30" s="672">
        <f>'Water Dec'!R30/1000</f>
        <v>0</v>
      </c>
      <c r="S30" s="672">
        <f>'Water Dec'!S30/1000</f>
        <v>0</v>
      </c>
      <c r="T30" s="672">
        <f>'Water Dec'!T30/1000</f>
        <v>0</v>
      </c>
      <c r="U30" s="672">
        <f>'Water Dec'!U30/1000</f>
        <v>85.56</v>
      </c>
      <c r="V30" s="624" t="str">
        <f t="shared" si="10"/>
        <v>MATCH</v>
      </c>
      <c r="W30" s="672">
        <f>'Water Dec'!W30/1000</f>
        <v>85.56</v>
      </c>
      <c r="X30" s="672">
        <f>'Water Dec'!X30/1000</f>
        <v>1953.143</v>
      </c>
      <c r="Y30" s="672">
        <f>'Water Dec'!Y30/1000</f>
        <v>141.392</v>
      </c>
      <c r="Z30" s="672">
        <f>'Water Dec'!Z30/1000</f>
        <v>1713.61</v>
      </c>
      <c r="AA30" s="672">
        <f>'Water Dec'!AA30/1000</f>
        <v>74.113</v>
      </c>
      <c r="AB30" s="672">
        <f>'Water Dec'!AB30/1000</f>
        <v>0</v>
      </c>
      <c r="AC30" s="672">
        <f>'Water Dec'!AC30/1000</f>
        <v>0</v>
      </c>
      <c r="AD30" s="672">
        <f>'Water Dec'!AD30/1000</f>
        <v>0</v>
      </c>
      <c r="AE30" s="672">
        <f>'Water Dec'!AE30/1000</f>
        <v>0</v>
      </c>
      <c r="AF30" s="672">
        <f>'Water Dec'!AF30/1000</f>
        <v>0</v>
      </c>
      <c r="AG30" s="672">
        <f>'Water Dec'!AG30/1000</f>
        <v>1164.039</v>
      </c>
      <c r="AH30" s="672">
        <f>'Water Dec'!AH30/1000</f>
        <v>1238.152</v>
      </c>
      <c r="AI30" s="672" t="e">
        <f>'Water Dec'!AI30/1000</f>
        <v>#VALUE!</v>
      </c>
      <c r="AJ30" s="672">
        <f>'Water Dec'!AJ30/1000</f>
        <v>1238.152</v>
      </c>
      <c r="AK30" s="672">
        <f>'Water Dec'!AK30/1000</f>
        <v>0</v>
      </c>
      <c r="AL30" s="672">
        <f>'Water Dec'!AL30/1000</f>
        <v>0</v>
      </c>
      <c r="AM30" s="672">
        <f>'Water Dec'!AM30/1000</f>
        <v>0</v>
      </c>
      <c r="AN30" s="672">
        <f>'Water Dec'!AN30/1000</f>
        <v>0</v>
      </c>
      <c r="AO30" s="672">
        <f>'Water Dec'!AO30/1000</f>
        <v>0</v>
      </c>
      <c r="AP30" s="672">
        <f>'Water Dec'!AP30/1000</f>
        <v>0</v>
      </c>
      <c r="AQ30" s="672">
        <f>'Water Dec'!AQ30/1000</f>
        <v>0</v>
      </c>
      <c r="AR30" s="672">
        <f>'Water Dec'!AR30/1000</f>
        <v>0</v>
      </c>
      <c r="AS30" s="672">
        <f>'Water Dec'!AS30/1000</f>
        <v>1238.152</v>
      </c>
      <c r="AT30" s="672">
        <f>'Water Dec'!AT30/1000</f>
        <v>517.20500000000004</v>
      </c>
      <c r="AU30" s="672">
        <f>'Water Dec'!AU30/1000</f>
        <v>31.800999999999998</v>
      </c>
      <c r="AV30" s="672">
        <f>'Water Dec'!AV30/1000</f>
        <v>24.593</v>
      </c>
      <c r="AW30" s="672">
        <f>'Water Dec'!AW30/1000</f>
        <v>573.59900000000005</v>
      </c>
      <c r="AX30" s="672">
        <f>'Water Dec'!AX30/1000</f>
        <v>0</v>
      </c>
      <c r="AY30" s="672">
        <f>'Water Dec'!AY30/1000</f>
        <v>0</v>
      </c>
      <c r="AZ30" s="672">
        <f>'Water Dec'!AZ30/1000</f>
        <v>0</v>
      </c>
      <c r="BA30" s="672">
        <f>'Water Dec'!BA30/1000</f>
        <v>0</v>
      </c>
      <c r="BB30" s="672">
        <f>'Water Dec'!BB30/1000</f>
        <v>573.59900000000005</v>
      </c>
      <c r="BC30" s="672" t="e">
        <f>'Water Dec'!BC30/1000</f>
        <v>#VALUE!</v>
      </c>
      <c r="BD30" s="672">
        <f>'Water Dec'!BD30/1000</f>
        <v>573.59900000000005</v>
      </c>
      <c r="BE30" s="672">
        <f>'Water Dec'!BE30/1000</f>
        <v>15117.602999999999</v>
      </c>
      <c r="BF30" s="672">
        <f>'Water Dec'!BF30/1000</f>
        <v>14794.696</v>
      </c>
      <c r="BG30" s="677">
        <f t="shared" si="26"/>
        <v>0.97864033074555545</v>
      </c>
      <c r="BH30" s="633">
        <f t="shared" si="75"/>
        <v>7.2338629629629628E-2</v>
      </c>
      <c r="BI30" s="674" t="s">
        <v>505</v>
      </c>
      <c r="BJ30" s="633">
        <f t="shared" si="89"/>
        <v>2.124440740740741E-2</v>
      </c>
      <c r="BK30" s="674" t="s">
        <v>505</v>
      </c>
      <c r="BL30" s="676">
        <f>ROUND('Water Dec'!BL30,-3)</f>
        <v>27000</v>
      </c>
      <c r="BM30" s="685">
        <f>ROUND('Water Dec'!BM30,-3)</f>
        <v>0</v>
      </c>
      <c r="BN30" s="686">
        <f>ROUND('Water Dec'!BN30,-3)</f>
        <v>0</v>
      </c>
      <c r="BO30" s="636" t="s">
        <v>508</v>
      </c>
      <c r="BP30" s="637" t="s">
        <v>493</v>
      </c>
      <c r="BQ30" s="637" t="s">
        <v>474</v>
      </c>
      <c r="BR30" s="637" t="s">
        <v>504</v>
      </c>
      <c r="BS30" s="637" t="s">
        <v>479</v>
      </c>
      <c r="BT30" s="637" t="s">
        <v>509</v>
      </c>
      <c r="BU30" s="637" t="s">
        <v>464</v>
      </c>
      <c r="BV30" s="637" t="s">
        <v>465</v>
      </c>
      <c r="BW30" s="637" t="s">
        <v>466</v>
      </c>
      <c r="BX30" s="637" t="s">
        <v>475</v>
      </c>
      <c r="BY30" s="637" t="s">
        <v>468</v>
      </c>
      <c r="BZ30" s="637" t="s">
        <v>469</v>
      </c>
      <c r="CA30" s="637" t="s">
        <v>456</v>
      </c>
      <c r="CB30" s="638" t="s">
        <v>496</v>
      </c>
    </row>
    <row r="31" spans="1:82" ht="14.25" customHeight="1" x14ac:dyDescent="0.35">
      <c r="A31" s="655" t="s">
        <v>379</v>
      </c>
      <c r="B31" s="656">
        <f>B32</f>
        <v>0</v>
      </c>
      <c r="C31" s="657">
        <f>C32</f>
        <v>2370.9566400000003</v>
      </c>
      <c r="D31" s="657">
        <f t="shared" ref="D31:I31" si="90">D32</f>
        <v>0</v>
      </c>
      <c r="E31" s="657">
        <f>E32</f>
        <v>0</v>
      </c>
      <c r="F31" s="657">
        <f t="shared" si="90"/>
        <v>0</v>
      </c>
      <c r="G31" s="657">
        <f t="shared" si="90"/>
        <v>0</v>
      </c>
      <c r="H31" s="657">
        <f t="shared" si="90"/>
        <v>0</v>
      </c>
      <c r="I31" s="657">
        <f t="shared" si="90"/>
        <v>0</v>
      </c>
      <c r="J31" s="639">
        <f t="shared" si="19"/>
        <v>2370.9566400000003</v>
      </c>
      <c r="K31" s="639" t="str">
        <f t="shared" si="15"/>
        <v>MATCH</v>
      </c>
      <c r="L31" s="639">
        <f t="shared" ref="L31:BF31" si="91">L32</f>
        <v>2370.9566400000003</v>
      </c>
      <c r="M31" s="656">
        <f t="shared" si="91"/>
        <v>0</v>
      </c>
      <c r="N31" s="658">
        <f t="shared" si="91"/>
        <v>0</v>
      </c>
      <c r="O31" s="658">
        <f t="shared" si="91"/>
        <v>0</v>
      </c>
      <c r="P31" s="658">
        <f t="shared" si="91"/>
        <v>0</v>
      </c>
      <c r="Q31" s="658">
        <f t="shared" si="91"/>
        <v>0</v>
      </c>
      <c r="R31" s="658">
        <f t="shared" si="91"/>
        <v>0</v>
      </c>
      <c r="S31" s="658">
        <f t="shared" si="91"/>
        <v>0</v>
      </c>
      <c r="T31" s="658">
        <f t="shared" si="91"/>
        <v>0</v>
      </c>
      <c r="U31" s="639">
        <f t="shared" si="40"/>
        <v>0</v>
      </c>
      <c r="V31" s="624" t="str">
        <f t="shared" si="10"/>
        <v>MATCH</v>
      </c>
      <c r="W31" s="659">
        <f t="shared" si="91"/>
        <v>0</v>
      </c>
      <c r="X31" s="659">
        <f t="shared" si="91"/>
        <v>2370.9566400000003</v>
      </c>
      <c r="Y31" s="660">
        <f t="shared" si="91"/>
        <v>-1436.0373999999999</v>
      </c>
      <c r="Z31" s="661">
        <f t="shared" si="91"/>
        <v>0</v>
      </c>
      <c r="AA31" s="656">
        <f t="shared" si="91"/>
        <v>0</v>
      </c>
      <c r="AB31" s="657">
        <f t="shared" si="91"/>
        <v>0</v>
      </c>
      <c r="AC31" s="657">
        <f t="shared" si="91"/>
        <v>0</v>
      </c>
      <c r="AD31" s="657">
        <f t="shared" si="91"/>
        <v>0</v>
      </c>
      <c r="AE31" s="657">
        <f t="shared" si="91"/>
        <v>0</v>
      </c>
      <c r="AF31" s="657">
        <f t="shared" si="91"/>
        <v>0</v>
      </c>
      <c r="AG31" s="657">
        <f t="shared" si="91"/>
        <v>3110.4</v>
      </c>
      <c r="AH31" s="639">
        <f t="shared" si="12"/>
        <v>3110.4</v>
      </c>
      <c r="AI31" s="639" t="str">
        <f t="shared" si="23"/>
        <v>MATCH</v>
      </c>
      <c r="AJ31" s="662">
        <f t="shared" si="91"/>
        <v>3110.4</v>
      </c>
      <c r="AK31" s="656">
        <f t="shared" si="91"/>
        <v>202.82900000000001</v>
      </c>
      <c r="AL31" s="657">
        <f t="shared" si="91"/>
        <v>0</v>
      </c>
      <c r="AM31" s="657">
        <f t="shared" si="91"/>
        <v>0</v>
      </c>
      <c r="AN31" s="657">
        <f t="shared" si="91"/>
        <v>0</v>
      </c>
      <c r="AO31" s="657">
        <f t="shared" si="91"/>
        <v>0</v>
      </c>
      <c r="AP31" s="657">
        <f t="shared" si="91"/>
        <v>0</v>
      </c>
      <c r="AQ31" s="657">
        <f t="shared" si="91"/>
        <v>0</v>
      </c>
      <c r="AR31" s="662">
        <f t="shared" si="91"/>
        <v>202.82900000000001</v>
      </c>
      <c r="AS31" s="663">
        <f t="shared" si="73"/>
        <v>3313.2290000000003</v>
      </c>
      <c r="AT31" s="656">
        <f>AT32</f>
        <v>0</v>
      </c>
      <c r="AU31" s="657">
        <f t="shared" ref="AU31:BB31" si="92">AU32</f>
        <v>0</v>
      </c>
      <c r="AV31" s="657">
        <f t="shared" si="92"/>
        <v>0</v>
      </c>
      <c r="AW31" s="657">
        <f t="shared" si="92"/>
        <v>0</v>
      </c>
      <c r="AX31" s="657">
        <f t="shared" si="92"/>
        <v>0</v>
      </c>
      <c r="AY31" s="657">
        <f t="shared" si="92"/>
        <v>0</v>
      </c>
      <c r="AZ31" s="657">
        <f t="shared" si="92"/>
        <v>0</v>
      </c>
      <c r="BA31" s="657">
        <f t="shared" si="92"/>
        <v>0</v>
      </c>
      <c r="BB31" s="639">
        <f t="shared" si="92"/>
        <v>0</v>
      </c>
      <c r="BC31" s="639" t="str">
        <f t="shared" si="25"/>
        <v>MATCH</v>
      </c>
      <c r="BD31" s="662">
        <f t="shared" si="91"/>
        <v>0</v>
      </c>
      <c r="BE31" s="659">
        <f t="shared" si="91"/>
        <v>2370.9562799999999</v>
      </c>
      <c r="BF31" s="662">
        <f t="shared" si="91"/>
        <v>0</v>
      </c>
      <c r="BG31" s="664">
        <f t="shared" si="26"/>
        <v>0</v>
      </c>
      <c r="BH31" s="665" t="e">
        <f t="shared" si="75"/>
        <v>#DIV/0!</v>
      </c>
      <c r="BI31" s="666" t="e">
        <f t="shared" si="76"/>
        <v>#DIV/0!</v>
      </c>
      <c r="BJ31" s="665" t="e">
        <f>BD31/BL31</f>
        <v>#DIV/0!</v>
      </c>
      <c r="BK31" s="667" t="e">
        <f>BD31/BN31</f>
        <v>#DIV/0!</v>
      </c>
      <c r="BL31" s="668">
        <f>BL32</f>
        <v>0</v>
      </c>
      <c r="BM31" s="669">
        <f t="shared" ref="BM31:BN31" si="93">BM32</f>
        <v>0</v>
      </c>
      <c r="BN31" s="670">
        <f t="shared" si="93"/>
        <v>0</v>
      </c>
      <c r="BO31" s="636"/>
      <c r="BP31" s="637"/>
      <c r="BQ31" s="637"/>
      <c r="BR31" s="637"/>
      <c r="BS31" s="637"/>
      <c r="BT31" s="637"/>
      <c r="BU31" s="637"/>
      <c r="BV31" s="637"/>
      <c r="BW31" s="637"/>
      <c r="BX31" s="637"/>
      <c r="BY31" s="637"/>
      <c r="BZ31" s="637"/>
      <c r="CA31" s="637"/>
      <c r="CB31" s="638"/>
    </row>
    <row r="32" spans="1:82" ht="14.25" customHeight="1" x14ac:dyDescent="0.35">
      <c r="A32" s="671" t="s">
        <v>380</v>
      </c>
      <c r="B32" s="679">
        <f>'Water Dec'!B32/1000</f>
        <v>0</v>
      </c>
      <c r="C32" s="679">
        <f>'Water Dec'!C32/1000</f>
        <v>2370.9566400000003</v>
      </c>
      <c r="D32" s="679">
        <f>'Water Dec'!D32/1000</f>
        <v>0</v>
      </c>
      <c r="E32" s="679">
        <f>'Water Dec'!E32/1000</f>
        <v>0</v>
      </c>
      <c r="F32" s="679">
        <f>'Water Dec'!F32/1000</f>
        <v>0</v>
      </c>
      <c r="G32" s="679">
        <f>'Water Dec'!G32/1000</f>
        <v>0</v>
      </c>
      <c r="H32" s="679">
        <f>'Water Dec'!H32/1000</f>
        <v>0</v>
      </c>
      <c r="I32" s="679">
        <f>'Water Dec'!I32/1000</f>
        <v>0</v>
      </c>
      <c r="J32" s="679">
        <f>'Water Dec'!J32/1000</f>
        <v>2370.9566400000003</v>
      </c>
      <c r="K32" s="639" t="str">
        <f t="shared" si="15"/>
        <v>MATCH</v>
      </c>
      <c r="L32" s="679">
        <f>'Water Dec'!L32/1000</f>
        <v>2370.9566400000003</v>
      </c>
      <c r="M32" s="679">
        <f>'Water Dec'!M32/1000</f>
        <v>0</v>
      </c>
      <c r="N32" s="679">
        <f>'Water Dec'!N32/1000</f>
        <v>0</v>
      </c>
      <c r="O32" s="679">
        <f>'Water Dec'!O32/1000</f>
        <v>0</v>
      </c>
      <c r="P32" s="679">
        <f>'Water Dec'!P32/1000</f>
        <v>0</v>
      </c>
      <c r="Q32" s="679">
        <f>'Water Dec'!Q32/1000</f>
        <v>0</v>
      </c>
      <c r="R32" s="679">
        <f>'Water Dec'!R32/1000</f>
        <v>0</v>
      </c>
      <c r="S32" s="679">
        <f>'Water Dec'!S32/1000</f>
        <v>0</v>
      </c>
      <c r="T32" s="679">
        <f>'Water Dec'!T32/1000</f>
        <v>0</v>
      </c>
      <c r="U32" s="679">
        <f>'Water Dec'!U32/1000</f>
        <v>0</v>
      </c>
      <c r="V32" s="624" t="str">
        <f t="shared" si="10"/>
        <v>MATCH</v>
      </c>
      <c r="W32" s="679">
        <f>'Water Dec'!W32/1000</f>
        <v>0</v>
      </c>
      <c r="X32" s="679">
        <f>'Water Dec'!X32/1000</f>
        <v>2370.9566400000003</v>
      </c>
      <c r="Y32" s="679">
        <f>'Water Dec'!Y32/1000</f>
        <v>-1436.0373999999999</v>
      </c>
      <c r="Z32" s="679">
        <f>'Water Dec'!Z32/1000</f>
        <v>0</v>
      </c>
      <c r="AA32" s="679">
        <f>'Water Dec'!AA32/1000</f>
        <v>0</v>
      </c>
      <c r="AB32" s="679">
        <f>'Water Dec'!AB32/1000</f>
        <v>0</v>
      </c>
      <c r="AC32" s="679">
        <f>'Water Dec'!AC32/1000</f>
        <v>0</v>
      </c>
      <c r="AD32" s="679">
        <f>'Water Dec'!AD32/1000</f>
        <v>0</v>
      </c>
      <c r="AE32" s="679">
        <f>'Water Dec'!AE32/1000</f>
        <v>0</v>
      </c>
      <c r="AF32" s="679">
        <f>'Water Dec'!AF32/1000</f>
        <v>0</v>
      </c>
      <c r="AG32" s="679">
        <f>'Water Dec'!AG32/1000</f>
        <v>3110.4</v>
      </c>
      <c r="AH32" s="679">
        <f>'Water Dec'!AH32/1000</f>
        <v>3110.4</v>
      </c>
      <c r="AI32" s="679" t="e">
        <f>'Water Dec'!AI32/1000</f>
        <v>#VALUE!</v>
      </c>
      <c r="AJ32" s="679">
        <f>'Water Dec'!AJ32/1000</f>
        <v>3110.4</v>
      </c>
      <c r="AK32" s="679">
        <f>'Water Dec'!AK32/1000</f>
        <v>202.82900000000001</v>
      </c>
      <c r="AL32" s="679">
        <f>'Water Dec'!AL32/1000</f>
        <v>0</v>
      </c>
      <c r="AM32" s="679">
        <f>'Water Dec'!AM32/1000</f>
        <v>0</v>
      </c>
      <c r="AN32" s="679">
        <f>'Water Dec'!AN32/1000</f>
        <v>0</v>
      </c>
      <c r="AO32" s="679">
        <f>'Water Dec'!AO32/1000</f>
        <v>0</v>
      </c>
      <c r="AP32" s="679">
        <f>'Water Dec'!AP32/1000</f>
        <v>0</v>
      </c>
      <c r="AQ32" s="679">
        <f>'Water Dec'!AQ32/1000</f>
        <v>0</v>
      </c>
      <c r="AR32" s="679">
        <f>'Water Dec'!AR32/1000</f>
        <v>202.82900000000001</v>
      </c>
      <c r="AS32" s="679">
        <f>'Water Dec'!AS32/1000</f>
        <v>3313.2289999999998</v>
      </c>
      <c r="AT32" s="679">
        <f>'Water Dec'!AT32/1000</f>
        <v>0</v>
      </c>
      <c r="AU32" s="679">
        <f>'Water Dec'!AU32/1000</f>
        <v>0</v>
      </c>
      <c r="AV32" s="679">
        <f>'Water Dec'!AV32/1000</f>
        <v>0</v>
      </c>
      <c r="AW32" s="679">
        <f>'Water Dec'!AW32/1000</f>
        <v>0</v>
      </c>
      <c r="AX32" s="679">
        <f>'Water Dec'!AX32/1000</f>
        <v>0</v>
      </c>
      <c r="AY32" s="679">
        <f>'Water Dec'!AY32/1000</f>
        <v>0</v>
      </c>
      <c r="AZ32" s="679">
        <f>'Water Dec'!AZ32/1000</f>
        <v>0</v>
      </c>
      <c r="BA32" s="679">
        <f>'Water Dec'!BA32/1000</f>
        <v>0</v>
      </c>
      <c r="BB32" s="679">
        <f>'Water Dec'!BB32/1000</f>
        <v>0</v>
      </c>
      <c r="BC32" s="679" t="e">
        <f>'Water Dec'!BC32/1000</f>
        <v>#VALUE!</v>
      </c>
      <c r="BD32" s="679">
        <f>'Water Dec'!BD32/1000</f>
        <v>0</v>
      </c>
      <c r="BE32" s="679">
        <f>'Water Dec'!BE32/1000</f>
        <v>2370.9562799999999</v>
      </c>
      <c r="BF32" s="679">
        <f>'Water Dec'!BF32/1000</f>
        <v>0</v>
      </c>
      <c r="BG32" s="677">
        <f t="shared" si="26"/>
        <v>0</v>
      </c>
      <c r="BH32" s="633" t="e">
        <f t="shared" si="75"/>
        <v>#DIV/0!</v>
      </c>
      <c r="BI32" s="674" t="e">
        <f t="shared" si="76"/>
        <v>#DIV/0!</v>
      </c>
      <c r="BJ32" s="633" t="e">
        <f t="shared" ref="BJ32" si="94">BD32/BL32</f>
        <v>#DIV/0!</v>
      </c>
      <c r="BK32" s="675" t="e">
        <f t="shared" ref="BK32" si="95">BD32/BN32</f>
        <v>#DIV/0!</v>
      </c>
      <c r="BL32" s="676">
        <f>ROUND('Water Dec'!BL32,-3)</f>
        <v>0</v>
      </c>
      <c r="BM32" s="685">
        <f>ROUND('Water Dec'!BM32,-3)</f>
        <v>0</v>
      </c>
      <c r="BN32" s="686">
        <f>ROUND('Water Dec'!BN32,-3)</f>
        <v>0</v>
      </c>
      <c r="BO32" s="636" t="s">
        <v>510</v>
      </c>
      <c r="BP32" s="637" t="s">
        <v>483</v>
      </c>
      <c r="BQ32" s="637" t="s">
        <v>511</v>
      </c>
      <c r="BR32" s="637" t="s">
        <v>461</v>
      </c>
      <c r="BS32" s="637" t="s">
        <v>479</v>
      </c>
      <c r="BT32" s="637" t="s">
        <v>485</v>
      </c>
      <c r="BU32" s="637" t="s">
        <v>464</v>
      </c>
      <c r="BV32" s="637" t="s">
        <v>463</v>
      </c>
      <c r="BW32" s="637" t="s">
        <v>467</v>
      </c>
      <c r="BX32" s="637" t="s">
        <v>466</v>
      </c>
      <c r="BY32" s="637" t="s">
        <v>468</v>
      </c>
      <c r="BZ32" s="637" t="s">
        <v>469</v>
      </c>
      <c r="CA32" s="637" t="s">
        <v>470</v>
      </c>
      <c r="CB32" s="638" t="s">
        <v>512</v>
      </c>
    </row>
    <row r="33" spans="1:82" s="654" customFormat="1" ht="14.25" customHeight="1" x14ac:dyDescent="0.35">
      <c r="A33" s="640" t="s">
        <v>381</v>
      </c>
      <c r="B33" s="641">
        <f>B34+B40</f>
        <v>3602.8432408000003</v>
      </c>
      <c r="C33" s="642">
        <f t="shared" ref="C33:I33" si="96">C34+C40</f>
        <v>464.0167692</v>
      </c>
      <c r="D33" s="642">
        <f t="shared" si="96"/>
        <v>0</v>
      </c>
      <c r="E33" s="642">
        <f>E34+E40</f>
        <v>17146.74581</v>
      </c>
      <c r="F33" s="642">
        <f t="shared" si="96"/>
        <v>17958.933999999997</v>
      </c>
      <c r="G33" s="642">
        <f t="shared" si="96"/>
        <v>0</v>
      </c>
      <c r="H33" s="642">
        <f t="shared" si="96"/>
        <v>1.2E-2</v>
      </c>
      <c r="I33" s="642">
        <f t="shared" si="96"/>
        <v>0</v>
      </c>
      <c r="J33" s="624">
        <f t="shared" si="19"/>
        <v>39172.551820000001</v>
      </c>
      <c r="K33" s="639" t="str">
        <f t="shared" si="15"/>
        <v>MATCH</v>
      </c>
      <c r="L33" s="624">
        <f>L34+L40</f>
        <v>39172.551820000001</v>
      </c>
      <c r="M33" s="641">
        <f t="shared" ref="M33:T33" si="97">M34+M40</f>
        <v>37.273126499999996</v>
      </c>
      <c r="N33" s="643">
        <f t="shared" si="97"/>
        <v>36.283999999999999</v>
      </c>
      <c r="O33" s="643">
        <f t="shared" si="97"/>
        <v>2842.2260000000001</v>
      </c>
      <c r="P33" s="643">
        <f t="shared" si="97"/>
        <v>0</v>
      </c>
      <c r="Q33" s="643">
        <f t="shared" si="97"/>
        <v>1.9617435000000041</v>
      </c>
      <c r="R33" s="643">
        <f t="shared" si="97"/>
        <v>0</v>
      </c>
      <c r="S33" s="643">
        <f t="shared" si="97"/>
        <v>0</v>
      </c>
      <c r="T33" s="643">
        <f t="shared" si="97"/>
        <v>0</v>
      </c>
      <c r="U33" s="624">
        <f t="shared" si="40"/>
        <v>2917.74487</v>
      </c>
      <c r="V33" s="624" t="str">
        <f t="shared" si="10"/>
        <v>MATCH</v>
      </c>
      <c r="W33" s="644">
        <f t="shared" ref="W33:BF33" si="98">W34+W40</f>
        <v>2917.7448699999995</v>
      </c>
      <c r="X33" s="644">
        <f t="shared" si="98"/>
        <v>42090.296689999996</v>
      </c>
      <c r="Y33" s="645">
        <f t="shared" si="98"/>
        <v>-9448.0702400000009</v>
      </c>
      <c r="Z33" s="646">
        <f t="shared" si="98"/>
        <v>103779.72047999999</v>
      </c>
      <c r="AA33" s="641">
        <f t="shared" si="98"/>
        <v>1485.828</v>
      </c>
      <c r="AB33" s="642">
        <f t="shared" si="98"/>
        <v>0</v>
      </c>
      <c r="AC33" s="642">
        <f t="shared" si="98"/>
        <v>0</v>
      </c>
      <c r="AD33" s="642">
        <f t="shared" si="98"/>
        <v>3751.7469999999998</v>
      </c>
      <c r="AE33" s="642">
        <f t="shared" si="98"/>
        <v>0</v>
      </c>
      <c r="AF33" s="642">
        <f t="shared" si="98"/>
        <v>0</v>
      </c>
      <c r="AG33" s="642">
        <f t="shared" si="98"/>
        <v>0</v>
      </c>
      <c r="AH33" s="624">
        <f t="shared" si="12"/>
        <v>5237.5749999999998</v>
      </c>
      <c r="AI33" s="624" t="str">
        <f t="shared" si="23"/>
        <v>MATCH</v>
      </c>
      <c r="AJ33" s="647">
        <f t="shared" si="98"/>
        <v>5237.5749999999998</v>
      </c>
      <c r="AK33" s="641">
        <f t="shared" si="98"/>
        <v>0</v>
      </c>
      <c r="AL33" s="642">
        <f t="shared" si="98"/>
        <v>0</v>
      </c>
      <c r="AM33" s="642">
        <f t="shared" si="98"/>
        <v>76.224000000000004</v>
      </c>
      <c r="AN33" s="642">
        <f t="shared" si="98"/>
        <v>0</v>
      </c>
      <c r="AO33" s="642">
        <f t="shared" si="98"/>
        <v>0</v>
      </c>
      <c r="AP33" s="642">
        <f t="shared" si="98"/>
        <v>0</v>
      </c>
      <c r="AQ33" s="642">
        <f t="shared" si="98"/>
        <v>0</v>
      </c>
      <c r="AR33" s="647">
        <f t="shared" si="98"/>
        <v>75.602999999999994</v>
      </c>
      <c r="AS33" s="648">
        <f t="shared" si="73"/>
        <v>5313.1779999999999</v>
      </c>
      <c r="AT33" s="641">
        <f t="shared" ref="AT33:BA33" si="99">AT34+AT40</f>
        <v>9956.1057699999983</v>
      </c>
      <c r="AU33" s="642">
        <f t="shared" si="99"/>
        <v>5807.2463100000004</v>
      </c>
      <c r="AV33" s="642">
        <f t="shared" si="99"/>
        <v>596.73800000000006</v>
      </c>
      <c r="AW33" s="642">
        <f t="shared" si="99"/>
        <v>16360.090080000002</v>
      </c>
      <c r="AX33" s="642">
        <f t="shared" si="99"/>
        <v>8336.37572</v>
      </c>
      <c r="AY33" s="642">
        <f t="shared" si="99"/>
        <v>18559.320799999998</v>
      </c>
      <c r="AZ33" s="642">
        <f t="shared" si="99"/>
        <v>989.30700000000002</v>
      </c>
      <c r="BA33" s="642">
        <f t="shared" si="99"/>
        <v>27885.003519999998</v>
      </c>
      <c r="BB33" s="624">
        <f t="shared" si="14"/>
        <v>44245.0936</v>
      </c>
      <c r="BC33" s="624" t="str">
        <f t="shared" si="25"/>
        <v>MATCH</v>
      </c>
      <c r="BD33" s="647">
        <f t="shared" si="98"/>
        <v>44245.093599999993</v>
      </c>
      <c r="BE33" s="644">
        <f t="shared" si="98"/>
        <v>283949.78151999996</v>
      </c>
      <c r="BF33" s="647">
        <f t="shared" si="98"/>
        <v>245192.87300999998</v>
      </c>
      <c r="BG33" s="649">
        <f t="shared" si="26"/>
        <v>0.86350787698257081</v>
      </c>
      <c r="BH33" s="650">
        <f t="shared" si="75"/>
        <v>1.2157798004043903E-2</v>
      </c>
      <c r="BI33" s="651">
        <f t="shared" si="76"/>
        <v>5.2404562725665471E-4</v>
      </c>
      <c r="BJ33" s="650">
        <f>BD33/BL33</f>
        <v>1.2780211900635469E-2</v>
      </c>
      <c r="BK33" s="652">
        <f>BD33/BN33</f>
        <v>5.5087394606439394E-4</v>
      </c>
      <c r="BL33" s="643">
        <f>BL34+BL40</f>
        <v>3462000</v>
      </c>
      <c r="BM33" s="642">
        <f>BM34+BM40</f>
        <v>37888000</v>
      </c>
      <c r="BN33" s="624">
        <f>BN34+BN40</f>
        <v>80318000</v>
      </c>
      <c r="BO33" s="636"/>
      <c r="BP33" s="637"/>
      <c r="BQ33" s="637"/>
      <c r="BR33" s="637"/>
      <c r="BS33" s="637"/>
      <c r="BT33" s="637"/>
      <c r="BU33" s="637"/>
      <c r="BV33" s="637"/>
      <c r="BW33" s="637"/>
      <c r="BX33" s="637"/>
      <c r="BY33" s="637"/>
      <c r="BZ33" s="637"/>
      <c r="CA33" s="637"/>
      <c r="CB33" s="638"/>
      <c r="CC33" s="653"/>
      <c r="CD33" s="653"/>
    </row>
    <row r="34" spans="1:82" ht="14.25" customHeight="1" x14ac:dyDescent="0.35">
      <c r="A34" s="687" t="s">
        <v>382</v>
      </c>
      <c r="B34" s="656">
        <f>SUM(B35:B39)</f>
        <v>3402.7896408000001</v>
      </c>
      <c r="C34" s="657">
        <f t="shared" ref="C34:I34" si="100">SUM(C35:C39)</f>
        <v>464.0167692</v>
      </c>
      <c r="D34" s="657">
        <f t="shared" si="100"/>
        <v>0</v>
      </c>
      <c r="E34" s="657">
        <f t="shared" si="100"/>
        <v>0</v>
      </c>
      <c r="F34" s="657">
        <f t="shared" si="100"/>
        <v>0</v>
      </c>
      <c r="G34" s="657">
        <f t="shared" si="100"/>
        <v>0</v>
      </c>
      <c r="H34" s="657">
        <f t="shared" si="100"/>
        <v>0</v>
      </c>
      <c r="I34" s="657">
        <f t="shared" si="100"/>
        <v>0</v>
      </c>
      <c r="J34" s="639">
        <f t="shared" si="19"/>
        <v>3866.8064100000001</v>
      </c>
      <c r="K34" s="639" t="str">
        <f t="shared" si="15"/>
        <v>MATCH</v>
      </c>
      <c r="L34" s="639">
        <f>L35+L36</f>
        <v>3866.8064100000001</v>
      </c>
      <c r="M34" s="656">
        <f t="shared" ref="M34:T34" si="101">SUM(M35:M39)</f>
        <v>37.273126499999996</v>
      </c>
      <c r="N34" s="658">
        <f t="shared" si="101"/>
        <v>0</v>
      </c>
      <c r="O34" s="658">
        <f t="shared" si="101"/>
        <v>0</v>
      </c>
      <c r="P34" s="658">
        <f t="shared" si="101"/>
        <v>0</v>
      </c>
      <c r="Q34" s="658">
        <f t="shared" si="101"/>
        <v>1.9617435000000041</v>
      </c>
      <c r="R34" s="658">
        <f t="shared" si="101"/>
        <v>0</v>
      </c>
      <c r="S34" s="658">
        <f t="shared" si="101"/>
        <v>0</v>
      </c>
      <c r="T34" s="658">
        <f t="shared" si="101"/>
        <v>0</v>
      </c>
      <c r="U34" s="639">
        <f t="shared" si="40"/>
        <v>39.234870000000001</v>
      </c>
      <c r="V34" s="624" t="str">
        <f t="shared" si="10"/>
        <v>MATCH</v>
      </c>
      <c r="W34" s="659">
        <f t="shared" ref="W34:BF34" si="102">W35+W36</f>
        <v>39.234870000000001</v>
      </c>
      <c r="X34" s="659">
        <f t="shared" si="102"/>
        <v>3906.0412800000004</v>
      </c>
      <c r="Y34" s="660">
        <f t="shared" si="102"/>
        <v>-1306.5742399999999</v>
      </c>
      <c r="Z34" s="661">
        <f t="shared" si="102"/>
        <v>359.7534</v>
      </c>
      <c r="AA34" s="656">
        <f t="shared" ref="AA34:AG34" si="103">SUM(AA35:AA39)</f>
        <v>1485.828</v>
      </c>
      <c r="AB34" s="657">
        <f t="shared" si="103"/>
        <v>0</v>
      </c>
      <c r="AC34" s="657">
        <f t="shared" si="103"/>
        <v>0</v>
      </c>
      <c r="AD34" s="657">
        <f t="shared" si="103"/>
        <v>0</v>
      </c>
      <c r="AE34" s="657">
        <f t="shared" si="103"/>
        <v>0</v>
      </c>
      <c r="AF34" s="657">
        <f t="shared" si="103"/>
        <v>0</v>
      </c>
      <c r="AG34" s="657">
        <f t="shared" si="103"/>
        <v>0</v>
      </c>
      <c r="AH34" s="639">
        <f t="shared" si="12"/>
        <v>1485.828</v>
      </c>
      <c r="AI34" s="639" t="str">
        <f t="shared" si="23"/>
        <v>MATCH</v>
      </c>
      <c r="AJ34" s="662">
        <f t="shared" si="102"/>
        <v>1485.828</v>
      </c>
      <c r="AK34" s="656">
        <f t="shared" ref="AK34:AQ34" si="104">SUM(AK35:AK39)</f>
        <v>0</v>
      </c>
      <c r="AL34" s="657">
        <f t="shared" si="104"/>
        <v>0</v>
      </c>
      <c r="AM34" s="657">
        <f t="shared" si="104"/>
        <v>0</v>
      </c>
      <c r="AN34" s="657">
        <f t="shared" si="104"/>
        <v>0</v>
      </c>
      <c r="AO34" s="657">
        <f t="shared" si="104"/>
        <v>0</v>
      </c>
      <c r="AP34" s="657">
        <f t="shared" si="104"/>
        <v>0</v>
      </c>
      <c r="AQ34" s="657">
        <f t="shared" si="104"/>
        <v>0</v>
      </c>
      <c r="AR34" s="662">
        <f t="shared" si="102"/>
        <v>0</v>
      </c>
      <c r="AS34" s="663">
        <f t="shared" si="73"/>
        <v>1485.828</v>
      </c>
      <c r="AT34" s="656">
        <f t="shared" ref="AT34:BA34" si="105">SUM(AT35:AT39)</f>
        <v>0</v>
      </c>
      <c r="AU34" s="657">
        <f t="shared" si="105"/>
        <v>0</v>
      </c>
      <c r="AV34" s="657">
        <f t="shared" si="105"/>
        <v>0</v>
      </c>
      <c r="AW34" s="657">
        <f t="shared" si="105"/>
        <v>0</v>
      </c>
      <c r="AX34" s="657">
        <f t="shared" si="105"/>
        <v>1039.8810000000001</v>
      </c>
      <c r="AY34" s="657">
        <f t="shared" si="105"/>
        <v>372.00479999999999</v>
      </c>
      <c r="AZ34" s="657">
        <f t="shared" si="105"/>
        <v>0</v>
      </c>
      <c r="BA34" s="657">
        <f t="shared" si="105"/>
        <v>1411.8858</v>
      </c>
      <c r="BB34" s="639">
        <f t="shared" si="14"/>
        <v>1411.8858</v>
      </c>
      <c r="BC34" s="639" t="str">
        <f t="shared" si="25"/>
        <v>MATCH</v>
      </c>
      <c r="BD34" s="662">
        <f t="shared" si="102"/>
        <v>1411.8858</v>
      </c>
      <c r="BE34" s="659">
        <f t="shared" si="102"/>
        <v>4592.93217</v>
      </c>
      <c r="BF34" s="662">
        <f t="shared" si="102"/>
        <v>4281.6347599999999</v>
      </c>
      <c r="BG34" s="664">
        <f t="shared" si="26"/>
        <v>0.93222251091942421</v>
      </c>
      <c r="BH34" s="666">
        <f t="shared" si="75"/>
        <v>2.6040275200000001E-2</v>
      </c>
      <c r="BI34" s="666">
        <f t="shared" si="76"/>
        <v>2.5529681568627455E-3</v>
      </c>
      <c r="BJ34" s="666">
        <f>BD34/BL34</f>
        <v>9.4125719999999993E-3</v>
      </c>
      <c r="BK34" s="667">
        <f>BD34/BN34</f>
        <v>9.2280117647058825E-4</v>
      </c>
      <c r="BL34" s="658">
        <f>BL35+BL36</f>
        <v>150000</v>
      </c>
      <c r="BM34" s="657">
        <f t="shared" ref="BM34:BN34" si="106">BM35+BM36</f>
        <v>0</v>
      </c>
      <c r="BN34" s="639">
        <f t="shared" si="106"/>
        <v>1530000</v>
      </c>
      <c r="BO34" s="636"/>
      <c r="BP34" s="637"/>
      <c r="BQ34" s="637"/>
      <c r="BR34" s="637"/>
      <c r="BS34" s="637"/>
      <c r="BT34" s="637"/>
      <c r="BU34" s="637"/>
      <c r="BV34" s="637"/>
      <c r="BW34" s="637"/>
      <c r="BX34" s="637"/>
      <c r="BY34" s="637"/>
      <c r="BZ34" s="637"/>
      <c r="CA34" s="637"/>
      <c r="CB34" s="638"/>
    </row>
    <row r="35" spans="1:82" ht="14.25" customHeight="1" x14ac:dyDescent="0.35">
      <c r="A35" s="671" t="s">
        <v>383</v>
      </c>
      <c r="B35" s="672">
        <f>'Water Dec'!B35/1000</f>
        <v>3402.7896408000001</v>
      </c>
      <c r="C35" s="672">
        <f>'Water Dec'!C35/1000</f>
        <v>464.0167692</v>
      </c>
      <c r="D35" s="672">
        <f>'Water Dec'!D35/1000</f>
        <v>0</v>
      </c>
      <c r="E35" s="672">
        <f>'Water Dec'!E35/1000</f>
        <v>0</v>
      </c>
      <c r="F35" s="672">
        <f>'Water Dec'!F35/1000</f>
        <v>0</v>
      </c>
      <c r="G35" s="672">
        <f>'Water Dec'!G35/1000</f>
        <v>0</v>
      </c>
      <c r="H35" s="672">
        <f>'Water Dec'!H35/1000</f>
        <v>0</v>
      </c>
      <c r="I35" s="672">
        <f>'Water Dec'!I35/1000</f>
        <v>0</v>
      </c>
      <c r="J35" s="672">
        <f>'Water Dec'!J35/1000</f>
        <v>3866.8064100000001</v>
      </c>
      <c r="K35" s="639" t="str">
        <f t="shared" si="15"/>
        <v>MATCH</v>
      </c>
      <c r="L35" s="672">
        <f>'Water Dec'!L35/1000</f>
        <v>3866.8064100000001</v>
      </c>
      <c r="M35" s="672">
        <f>'Water Dec'!M35/1000</f>
        <v>37.273126499999996</v>
      </c>
      <c r="N35" s="672">
        <f>'Water Dec'!N35/1000</f>
        <v>0</v>
      </c>
      <c r="O35" s="672">
        <f>'Water Dec'!O35/1000</f>
        <v>0</v>
      </c>
      <c r="P35" s="672">
        <f>'Water Dec'!P35/1000</f>
        <v>0</v>
      </c>
      <c r="Q35" s="672">
        <f>'Water Dec'!Q35/1000</f>
        <v>1.9617435000000041</v>
      </c>
      <c r="R35" s="672">
        <f>'Water Dec'!R35/1000</f>
        <v>0</v>
      </c>
      <c r="S35" s="672">
        <f>'Water Dec'!S35/1000</f>
        <v>0</v>
      </c>
      <c r="T35" s="672">
        <f>'Water Dec'!T35/1000</f>
        <v>0</v>
      </c>
      <c r="U35" s="672">
        <f>'Water Dec'!U35/1000</f>
        <v>39.234870000000001</v>
      </c>
      <c r="V35" s="624" t="str">
        <f t="shared" si="10"/>
        <v>MATCH</v>
      </c>
      <c r="W35" s="672">
        <f>'Water Dec'!W35/1000</f>
        <v>39.234870000000001</v>
      </c>
      <c r="X35" s="672">
        <f>'Water Dec'!X35/1000</f>
        <v>3906.0412800000004</v>
      </c>
      <c r="Y35" s="672">
        <f>'Water Dec'!Y35/1000</f>
        <v>-1306.5742399999999</v>
      </c>
      <c r="Z35" s="672">
        <f>'Water Dec'!Z35/1000</f>
        <v>359.7534</v>
      </c>
      <c r="AA35" s="672">
        <f>'Water Dec'!AA35/1000</f>
        <v>1485.828</v>
      </c>
      <c r="AB35" s="672">
        <f>'Water Dec'!AB35/1000</f>
        <v>0</v>
      </c>
      <c r="AC35" s="672">
        <f>'Water Dec'!AC35/1000</f>
        <v>0</v>
      </c>
      <c r="AD35" s="672">
        <f>'Water Dec'!AD35/1000</f>
        <v>0</v>
      </c>
      <c r="AE35" s="672">
        <f>'Water Dec'!AE35/1000</f>
        <v>0</v>
      </c>
      <c r="AF35" s="672">
        <f>'Water Dec'!AF35/1000</f>
        <v>0</v>
      </c>
      <c r="AG35" s="672">
        <f>'Water Dec'!AG35/1000</f>
        <v>0</v>
      </c>
      <c r="AH35" s="672">
        <f>'Water Dec'!AH35/1000</f>
        <v>1485.828</v>
      </c>
      <c r="AI35" s="672" t="e">
        <f>'Water Dec'!AI35/1000</f>
        <v>#VALUE!</v>
      </c>
      <c r="AJ35" s="672">
        <f>'Water Dec'!AJ35/1000</f>
        <v>1485.828</v>
      </c>
      <c r="AK35" s="672">
        <f>'Water Dec'!AK35/1000</f>
        <v>0</v>
      </c>
      <c r="AL35" s="672">
        <f>'Water Dec'!AL35/1000</f>
        <v>0</v>
      </c>
      <c r="AM35" s="672">
        <f>'Water Dec'!AM35/1000</f>
        <v>0</v>
      </c>
      <c r="AN35" s="672">
        <f>'Water Dec'!AN35/1000</f>
        <v>0</v>
      </c>
      <c r="AO35" s="672">
        <f>'Water Dec'!AO35/1000</f>
        <v>0</v>
      </c>
      <c r="AP35" s="672">
        <f>'Water Dec'!AP35/1000</f>
        <v>0</v>
      </c>
      <c r="AQ35" s="672">
        <f>'Water Dec'!AQ35/1000</f>
        <v>0</v>
      </c>
      <c r="AR35" s="672">
        <f>'Water Dec'!AR35/1000</f>
        <v>0</v>
      </c>
      <c r="AS35" s="672">
        <f>'Water Dec'!AS35/1000</f>
        <v>1485.828</v>
      </c>
      <c r="AT35" s="672">
        <f>'Water Dec'!AT35/1000</f>
        <v>0</v>
      </c>
      <c r="AU35" s="672">
        <f>'Water Dec'!AU35/1000</f>
        <v>0</v>
      </c>
      <c r="AV35" s="672">
        <f>'Water Dec'!AV35/1000</f>
        <v>0</v>
      </c>
      <c r="AW35" s="672">
        <f>'Water Dec'!AW35/1000</f>
        <v>0</v>
      </c>
      <c r="AX35" s="672">
        <f>'Water Dec'!AX35/1000</f>
        <v>1039.8810000000001</v>
      </c>
      <c r="AY35" s="672">
        <f>'Water Dec'!AY35/1000</f>
        <v>372.00479999999999</v>
      </c>
      <c r="AZ35" s="672">
        <f>'Water Dec'!AZ35/1000</f>
        <v>0</v>
      </c>
      <c r="BA35" s="672">
        <f>'Water Dec'!BA35/1000</f>
        <v>1411.8858</v>
      </c>
      <c r="BB35" s="672">
        <f>'Water Dec'!BB35/1000</f>
        <v>1411.8858</v>
      </c>
      <c r="BC35" s="672" t="e">
        <f>'Water Dec'!BC35/1000</f>
        <v>#VALUE!</v>
      </c>
      <c r="BD35" s="672">
        <f>'Water Dec'!BD35/1000</f>
        <v>1411.8858</v>
      </c>
      <c r="BE35" s="672">
        <f>'Water Dec'!BE35/1000</f>
        <v>4592.93217</v>
      </c>
      <c r="BF35" s="672">
        <f>'Water Dec'!BF35/1000</f>
        <v>4281.6347599999999</v>
      </c>
      <c r="BG35" s="677">
        <f t="shared" si="26"/>
        <v>0.93222251091942421</v>
      </c>
      <c r="BH35" s="633">
        <f t="shared" si="75"/>
        <v>2.6040275200000001E-2</v>
      </c>
      <c r="BI35" s="674">
        <f t="shared" si="76"/>
        <v>2.5529681568627455E-3</v>
      </c>
      <c r="BJ35" s="633">
        <f t="shared" ref="BJ35:BJ39" si="107">BD35/BL35</f>
        <v>9.4125719999999993E-3</v>
      </c>
      <c r="BK35" s="675">
        <f t="shared" ref="BK35:BK39" si="108">BD35/BN35</f>
        <v>9.2280117647058825E-4</v>
      </c>
      <c r="BL35" s="676">
        <f>ROUND('Water Dec'!BL35,-3)</f>
        <v>150000</v>
      </c>
      <c r="BM35" s="685">
        <f>ROUND('Water Dec'!BM35,-3)</f>
        <v>0</v>
      </c>
      <c r="BN35" s="686">
        <f>ROUND('Water Dec'!BN35,-3)</f>
        <v>1530000</v>
      </c>
      <c r="BO35" s="636" t="s">
        <v>513</v>
      </c>
      <c r="BP35" s="637" t="s">
        <v>514</v>
      </c>
      <c r="BQ35" s="637" t="s">
        <v>460</v>
      </c>
      <c r="BR35" s="637" t="s">
        <v>515</v>
      </c>
      <c r="BS35" s="637" t="s">
        <v>461</v>
      </c>
      <c r="BT35" s="637" t="s">
        <v>485</v>
      </c>
      <c r="BU35" s="637" t="s">
        <v>464</v>
      </c>
      <c r="BV35" s="637" t="s">
        <v>465</v>
      </c>
      <c r="BW35" s="637" t="s">
        <v>467</v>
      </c>
      <c r="BX35" s="637" t="s">
        <v>466</v>
      </c>
      <c r="BY35" s="637" t="s">
        <v>468</v>
      </c>
      <c r="BZ35" s="637" t="s">
        <v>476</v>
      </c>
      <c r="CA35" s="637" t="s">
        <v>470</v>
      </c>
      <c r="CB35" s="638" t="s">
        <v>468</v>
      </c>
    </row>
    <row r="36" spans="1:82" ht="14.25" hidden="1" customHeight="1" x14ac:dyDescent="0.35">
      <c r="A36" s="688" t="s">
        <v>373</v>
      </c>
      <c r="B36" s="672"/>
      <c r="C36" s="689"/>
      <c r="D36" s="689"/>
      <c r="E36" s="689"/>
      <c r="F36" s="689"/>
      <c r="G36" s="689"/>
      <c r="H36" s="689"/>
      <c r="I36" s="689"/>
      <c r="J36" s="622">
        <f t="shared" si="19"/>
        <v>0</v>
      </c>
      <c r="K36" s="639" t="str">
        <f t="shared" si="15"/>
        <v>MATCH</v>
      </c>
      <c r="L36" s="622">
        <v>0</v>
      </c>
      <c r="M36" s="672"/>
      <c r="N36" s="690"/>
      <c r="O36" s="690"/>
      <c r="P36" s="690"/>
      <c r="Q36" s="690"/>
      <c r="R36" s="690"/>
      <c r="S36" s="690"/>
      <c r="T36" s="690"/>
      <c r="U36" s="622">
        <f t="shared" si="40"/>
        <v>0</v>
      </c>
      <c r="V36" s="624" t="str">
        <f t="shared" si="10"/>
        <v>MATCH</v>
      </c>
      <c r="W36" s="691">
        <v>0</v>
      </c>
      <c r="X36" s="691">
        <f>L36+W36</f>
        <v>0</v>
      </c>
      <c r="Y36" s="692">
        <v>0</v>
      </c>
      <c r="Z36" s="679">
        <v>0</v>
      </c>
      <c r="AA36" s="672"/>
      <c r="AB36" s="689"/>
      <c r="AC36" s="689"/>
      <c r="AD36" s="689"/>
      <c r="AE36" s="689"/>
      <c r="AF36" s="689"/>
      <c r="AG36" s="689"/>
      <c r="AH36" s="622">
        <f t="shared" si="12"/>
        <v>0</v>
      </c>
      <c r="AI36" s="622" t="str">
        <f t="shared" si="23"/>
        <v>MATCH</v>
      </c>
      <c r="AJ36" s="693">
        <v>0</v>
      </c>
      <c r="AK36" s="672"/>
      <c r="AL36" s="689"/>
      <c r="AM36" s="689"/>
      <c r="AN36" s="689"/>
      <c r="AO36" s="689"/>
      <c r="AP36" s="689"/>
      <c r="AQ36" s="689"/>
      <c r="AR36" s="693">
        <v>0</v>
      </c>
      <c r="AS36" s="694">
        <f t="shared" si="73"/>
        <v>0</v>
      </c>
      <c r="AT36" s="672"/>
      <c r="AU36" s="689"/>
      <c r="AV36" s="689"/>
      <c r="AW36" s="689">
        <f t="shared" si="32"/>
        <v>0</v>
      </c>
      <c r="AX36" s="689"/>
      <c r="AY36" s="689"/>
      <c r="AZ36" s="689"/>
      <c r="BA36" s="689">
        <f t="shared" si="33"/>
        <v>0</v>
      </c>
      <c r="BB36" s="622">
        <f t="shared" si="14"/>
        <v>0</v>
      </c>
      <c r="BC36" s="622" t="str">
        <f t="shared" si="25"/>
        <v>MATCH</v>
      </c>
      <c r="BD36" s="693">
        <v>0</v>
      </c>
      <c r="BE36" s="695">
        <v>0</v>
      </c>
      <c r="BF36" s="692">
        <v>0</v>
      </c>
      <c r="BG36" s="677" t="e">
        <f t="shared" si="26"/>
        <v>#DIV/0!</v>
      </c>
      <c r="BH36" s="633" t="e">
        <f t="shared" si="75"/>
        <v>#DIV/0!</v>
      </c>
      <c r="BI36" s="674" t="e">
        <f t="shared" si="76"/>
        <v>#DIV/0!</v>
      </c>
      <c r="BJ36" s="633" t="e">
        <f t="shared" si="107"/>
        <v>#DIV/0!</v>
      </c>
      <c r="BK36" s="675" t="e">
        <f t="shared" si="108"/>
        <v>#DIV/0!</v>
      </c>
      <c r="BL36" s="696">
        <v>0</v>
      </c>
      <c r="BM36" s="697">
        <v>0</v>
      </c>
      <c r="BN36" s="698">
        <v>0</v>
      </c>
      <c r="BO36" s="636"/>
      <c r="BP36" s="637"/>
      <c r="BQ36" s="637"/>
      <c r="BR36" s="637"/>
      <c r="BS36" s="637"/>
      <c r="BT36" s="637"/>
      <c r="BU36" s="637"/>
      <c r="BV36" s="637"/>
      <c r="BW36" s="637"/>
      <c r="BX36" s="637"/>
      <c r="BY36" s="637"/>
      <c r="BZ36" s="637"/>
      <c r="CA36" s="637"/>
      <c r="CB36" s="638"/>
    </row>
    <row r="37" spans="1:82" ht="14.25" hidden="1" customHeight="1" x14ac:dyDescent="0.35">
      <c r="A37" s="688" t="s">
        <v>516</v>
      </c>
      <c r="B37" s="672"/>
      <c r="C37" s="689"/>
      <c r="D37" s="689"/>
      <c r="E37" s="689"/>
      <c r="F37" s="689"/>
      <c r="G37" s="689"/>
      <c r="H37" s="689"/>
      <c r="I37" s="689"/>
      <c r="J37" s="622">
        <f t="shared" si="19"/>
        <v>0</v>
      </c>
      <c r="K37" s="639" t="str">
        <f t="shared" si="15"/>
        <v>MATCH</v>
      </c>
      <c r="L37" s="622">
        <v>0</v>
      </c>
      <c r="M37" s="672"/>
      <c r="N37" s="690"/>
      <c r="O37" s="690"/>
      <c r="P37" s="690"/>
      <c r="Q37" s="690"/>
      <c r="R37" s="690"/>
      <c r="S37" s="690"/>
      <c r="T37" s="690"/>
      <c r="U37" s="622">
        <f t="shared" si="40"/>
        <v>0</v>
      </c>
      <c r="V37" s="624" t="str">
        <f t="shared" si="10"/>
        <v>MATCH</v>
      </c>
      <c r="W37" s="691">
        <v>0</v>
      </c>
      <c r="X37" s="691">
        <f>L37+W37</f>
        <v>0</v>
      </c>
      <c r="Y37" s="692">
        <v>0</v>
      </c>
      <c r="Z37" s="679">
        <v>0</v>
      </c>
      <c r="AA37" s="672"/>
      <c r="AB37" s="689"/>
      <c r="AC37" s="689"/>
      <c r="AD37" s="689"/>
      <c r="AE37" s="689"/>
      <c r="AF37" s="689"/>
      <c r="AG37" s="689"/>
      <c r="AH37" s="622">
        <f t="shared" si="12"/>
        <v>0</v>
      </c>
      <c r="AI37" s="622" t="str">
        <f t="shared" si="23"/>
        <v>MATCH</v>
      </c>
      <c r="AJ37" s="693">
        <v>0</v>
      </c>
      <c r="AK37" s="672"/>
      <c r="AL37" s="689"/>
      <c r="AM37" s="689"/>
      <c r="AN37" s="689"/>
      <c r="AO37" s="689"/>
      <c r="AP37" s="689"/>
      <c r="AQ37" s="689"/>
      <c r="AR37" s="693">
        <v>0</v>
      </c>
      <c r="AS37" s="694">
        <f t="shared" si="73"/>
        <v>0</v>
      </c>
      <c r="AT37" s="672"/>
      <c r="AU37" s="689"/>
      <c r="AV37" s="689"/>
      <c r="AW37" s="689">
        <f t="shared" si="32"/>
        <v>0</v>
      </c>
      <c r="AX37" s="689"/>
      <c r="AY37" s="689"/>
      <c r="AZ37" s="689"/>
      <c r="BA37" s="689">
        <f t="shared" si="33"/>
        <v>0</v>
      </c>
      <c r="BB37" s="622">
        <f t="shared" si="14"/>
        <v>0</v>
      </c>
      <c r="BC37" s="622" t="str">
        <f t="shared" si="25"/>
        <v>MATCH</v>
      </c>
      <c r="BD37" s="693">
        <v>0</v>
      </c>
      <c r="BE37" s="695">
        <v>0</v>
      </c>
      <c r="BF37" s="692">
        <v>0</v>
      </c>
      <c r="BG37" s="677" t="e">
        <f t="shared" si="26"/>
        <v>#DIV/0!</v>
      </c>
      <c r="BH37" s="633" t="e">
        <f t="shared" si="75"/>
        <v>#DIV/0!</v>
      </c>
      <c r="BI37" s="674" t="e">
        <f t="shared" si="76"/>
        <v>#DIV/0!</v>
      </c>
      <c r="BJ37" s="633" t="e">
        <f t="shared" si="107"/>
        <v>#DIV/0!</v>
      </c>
      <c r="BK37" s="675" t="e">
        <f t="shared" si="108"/>
        <v>#DIV/0!</v>
      </c>
      <c r="BL37" s="696">
        <v>0</v>
      </c>
      <c r="BM37" s="697">
        <v>0</v>
      </c>
      <c r="BN37" s="698">
        <v>0</v>
      </c>
      <c r="BO37" s="636"/>
      <c r="BP37" s="637"/>
      <c r="BQ37" s="637"/>
      <c r="BR37" s="637"/>
      <c r="BS37" s="637"/>
      <c r="BT37" s="637"/>
      <c r="BU37" s="637"/>
      <c r="BV37" s="637"/>
      <c r="BW37" s="637"/>
      <c r="BX37" s="637"/>
      <c r="BY37" s="637"/>
      <c r="BZ37" s="637"/>
      <c r="CA37" s="637"/>
      <c r="CB37" s="638"/>
    </row>
    <row r="38" spans="1:82" ht="14.25" hidden="1" customHeight="1" x14ac:dyDescent="0.35">
      <c r="A38" s="688" t="s">
        <v>517</v>
      </c>
      <c r="B38" s="672"/>
      <c r="C38" s="689"/>
      <c r="D38" s="689"/>
      <c r="E38" s="689"/>
      <c r="F38" s="689"/>
      <c r="G38" s="689"/>
      <c r="H38" s="689"/>
      <c r="I38" s="689"/>
      <c r="J38" s="622">
        <f t="shared" si="19"/>
        <v>0</v>
      </c>
      <c r="K38" s="639" t="str">
        <f t="shared" si="15"/>
        <v>MATCH</v>
      </c>
      <c r="L38" s="622">
        <v>0</v>
      </c>
      <c r="M38" s="672"/>
      <c r="N38" s="690"/>
      <c r="O38" s="690"/>
      <c r="P38" s="690"/>
      <c r="Q38" s="690"/>
      <c r="R38" s="690"/>
      <c r="S38" s="690"/>
      <c r="T38" s="690"/>
      <c r="U38" s="622">
        <f t="shared" si="40"/>
        <v>0</v>
      </c>
      <c r="V38" s="624" t="str">
        <f t="shared" si="10"/>
        <v>MATCH</v>
      </c>
      <c r="W38" s="691">
        <v>0</v>
      </c>
      <c r="X38" s="691">
        <f>L38+W38</f>
        <v>0</v>
      </c>
      <c r="Y38" s="692">
        <v>0</v>
      </c>
      <c r="Z38" s="679">
        <v>0</v>
      </c>
      <c r="AA38" s="672"/>
      <c r="AB38" s="689"/>
      <c r="AC38" s="689"/>
      <c r="AD38" s="689"/>
      <c r="AE38" s="689"/>
      <c r="AF38" s="689"/>
      <c r="AG38" s="689"/>
      <c r="AH38" s="622">
        <f t="shared" si="12"/>
        <v>0</v>
      </c>
      <c r="AI38" s="622" t="str">
        <f t="shared" si="23"/>
        <v>MATCH</v>
      </c>
      <c r="AJ38" s="693">
        <v>0</v>
      </c>
      <c r="AK38" s="672"/>
      <c r="AL38" s="689"/>
      <c r="AM38" s="689"/>
      <c r="AN38" s="689"/>
      <c r="AO38" s="689"/>
      <c r="AP38" s="689"/>
      <c r="AQ38" s="689"/>
      <c r="AR38" s="693">
        <v>0</v>
      </c>
      <c r="AS38" s="694">
        <f t="shared" si="73"/>
        <v>0</v>
      </c>
      <c r="AT38" s="672"/>
      <c r="AU38" s="689"/>
      <c r="AV38" s="689"/>
      <c r="AW38" s="689">
        <f t="shared" si="32"/>
        <v>0</v>
      </c>
      <c r="AX38" s="689"/>
      <c r="AY38" s="689"/>
      <c r="AZ38" s="689"/>
      <c r="BA38" s="689">
        <f t="shared" si="33"/>
        <v>0</v>
      </c>
      <c r="BB38" s="622">
        <f t="shared" si="14"/>
        <v>0</v>
      </c>
      <c r="BC38" s="622" t="str">
        <f t="shared" si="25"/>
        <v>MATCH</v>
      </c>
      <c r="BD38" s="693">
        <v>0</v>
      </c>
      <c r="BE38" s="695">
        <v>0</v>
      </c>
      <c r="BF38" s="692">
        <v>0</v>
      </c>
      <c r="BG38" s="677" t="e">
        <f t="shared" si="26"/>
        <v>#DIV/0!</v>
      </c>
      <c r="BH38" s="633" t="e">
        <f t="shared" si="75"/>
        <v>#DIV/0!</v>
      </c>
      <c r="BI38" s="674" t="e">
        <f t="shared" si="76"/>
        <v>#DIV/0!</v>
      </c>
      <c r="BJ38" s="633" t="e">
        <f t="shared" si="107"/>
        <v>#DIV/0!</v>
      </c>
      <c r="BK38" s="675" t="e">
        <f t="shared" si="108"/>
        <v>#DIV/0!</v>
      </c>
      <c r="BL38" s="696">
        <v>0</v>
      </c>
      <c r="BM38" s="697">
        <v>0</v>
      </c>
      <c r="BN38" s="698">
        <v>0</v>
      </c>
      <c r="BO38" s="636"/>
      <c r="BP38" s="637"/>
      <c r="BQ38" s="637"/>
      <c r="BR38" s="637"/>
      <c r="BS38" s="637"/>
      <c r="BT38" s="637"/>
      <c r="BU38" s="637"/>
      <c r="BV38" s="637"/>
      <c r="BW38" s="637"/>
      <c r="BX38" s="637"/>
      <c r="BY38" s="637"/>
      <c r="BZ38" s="637"/>
      <c r="CA38" s="637"/>
      <c r="CB38" s="638"/>
    </row>
    <row r="39" spans="1:82" ht="14.25" hidden="1" customHeight="1" x14ac:dyDescent="0.35">
      <c r="A39" s="688" t="s">
        <v>518</v>
      </c>
      <c r="B39" s="672"/>
      <c r="C39" s="689"/>
      <c r="D39" s="689"/>
      <c r="E39" s="689"/>
      <c r="F39" s="689"/>
      <c r="G39" s="689"/>
      <c r="H39" s="689"/>
      <c r="I39" s="689"/>
      <c r="J39" s="622">
        <f t="shared" si="19"/>
        <v>0</v>
      </c>
      <c r="K39" s="639" t="str">
        <f t="shared" si="15"/>
        <v>MATCH</v>
      </c>
      <c r="L39" s="622">
        <v>0</v>
      </c>
      <c r="M39" s="672"/>
      <c r="N39" s="690"/>
      <c r="O39" s="690"/>
      <c r="P39" s="690"/>
      <c r="Q39" s="690"/>
      <c r="R39" s="690"/>
      <c r="S39" s="690"/>
      <c r="T39" s="690"/>
      <c r="U39" s="622">
        <f t="shared" si="40"/>
        <v>0</v>
      </c>
      <c r="V39" s="624" t="str">
        <f t="shared" si="10"/>
        <v>MATCH</v>
      </c>
      <c r="W39" s="691">
        <v>0</v>
      </c>
      <c r="X39" s="691">
        <f>L39+W39</f>
        <v>0</v>
      </c>
      <c r="Y39" s="692">
        <v>0</v>
      </c>
      <c r="Z39" s="679">
        <v>0</v>
      </c>
      <c r="AA39" s="672"/>
      <c r="AB39" s="689"/>
      <c r="AC39" s="689"/>
      <c r="AD39" s="689"/>
      <c r="AE39" s="689"/>
      <c r="AF39" s="689"/>
      <c r="AG39" s="689"/>
      <c r="AH39" s="622">
        <f t="shared" si="12"/>
        <v>0</v>
      </c>
      <c r="AI39" s="622" t="str">
        <f t="shared" si="23"/>
        <v>MATCH</v>
      </c>
      <c r="AJ39" s="693">
        <v>0</v>
      </c>
      <c r="AK39" s="672"/>
      <c r="AL39" s="689"/>
      <c r="AM39" s="689"/>
      <c r="AN39" s="689"/>
      <c r="AO39" s="689"/>
      <c r="AP39" s="689"/>
      <c r="AQ39" s="689"/>
      <c r="AR39" s="693">
        <v>0</v>
      </c>
      <c r="AS39" s="694">
        <f t="shared" si="73"/>
        <v>0</v>
      </c>
      <c r="AT39" s="672"/>
      <c r="AU39" s="689"/>
      <c r="AV39" s="689"/>
      <c r="AW39" s="689">
        <f t="shared" si="32"/>
        <v>0</v>
      </c>
      <c r="AX39" s="689"/>
      <c r="AY39" s="689"/>
      <c r="AZ39" s="689"/>
      <c r="BA39" s="689">
        <f t="shared" si="33"/>
        <v>0</v>
      </c>
      <c r="BB39" s="622">
        <f t="shared" si="14"/>
        <v>0</v>
      </c>
      <c r="BC39" s="622" t="str">
        <f t="shared" si="25"/>
        <v>MATCH</v>
      </c>
      <c r="BD39" s="693">
        <v>0</v>
      </c>
      <c r="BE39" s="695">
        <v>0</v>
      </c>
      <c r="BF39" s="692">
        <v>0</v>
      </c>
      <c r="BG39" s="677" t="e">
        <f t="shared" si="26"/>
        <v>#DIV/0!</v>
      </c>
      <c r="BH39" s="633" t="e">
        <f t="shared" si="75"/>
        <v>#DIV/0!</v>
      </c>
      <c r="BI39" s="674" t="e">
        <f t="shared" si="76"/>
        <v>#DIV/0!</v>
      </c>
      <c r="BJ39" s="633" t="e">
        <f t="shared" si="107"/>
        <v>#DIV/0!</v>
      </c>
      <c r="BK39" s="675" t="e">
        <f t="shared" si="108"/>
        <v>#DIV/0!</v>
      </c>
      <c r="BL39" s="696">
        <v>0</v>
      </c>
      <c r="BM39" s="697">
        <v>0</v>
      </c>
      <c r="BN39" s="698">
        <v>0</v>
      </c>
      <c r="BO39" s="636"/>
      <c r="BP39" s="637"/>
      <c r="BQ39" s="637"/>
      <c r="BR39" s="637"/>
      <c r="BS39" s="637"/>
      <c r="BT39" s="637"/>
      <c r="BU39" s="637"/>
      <c r="BV39" s="637"/>
      <c r="BW39" s="637"/>
      <c r="BX39" s="637"/>
      <c r="BY39" s="637"/>
      <c r="BZ39" s="637"/>
      <c r="CA39" s="637"/>
      <c r="CB39" s="638"/>
    </row>
    <row r="40" spans="1:82" ht="13.5" customHeight="1" x14ac:dyDescent="0.35">
      <c r="A40" s="655" t="s">
        <v>384</v>
      </c>
      <c r="B40" s="656">
        <f>SUM(B41:B50)</f>
        <v>200.05359999999999</v>
      </c>
      <c r="C40" s="657">
        <f t="shared" ref="C40:I40" si="109">SUM(C41:C50)</f>
        <v>0</v>
      </c>
      <c r="D40" s="657">
        <f t="shared" si="109"/>
        <v>0</v>
      </c>
      <c r="E40" s="657">
        <f>SUM(E41:E50)</f>
        <v>17146.74581</v>
      </c>
      <c r="F40" s="657">
        <f t="shared" si="109"/>
        <v>17958.933999999997</v>
      </c>
      <c r="G40" s="657">
        <f t="shared" si="109"/>
        <v>0</v>
      </c>
      <c r="H40" s="657">
        <f t="shared" si="109"/>
        <v>1.2E-2</v>
      </c>
      <c r="I40" s="657">
        <f t="shared" si="109"/>
        <v>0</v>
      </c>
      <c r="J40" s="639">
        <f t="shared" si="19"/>
        <v>35305.745410000003</v>
      </c>
      <c r="K40" s="639" t="str">
        <f t="shared" si="15"/>
        <v>MATCH</v>
      </c>
      <c r="L40" s="639">
        <f>L41+L42+L50</f>
        <v>35305.745410000003</v>
      </c>
      <c r="M40" s="656">
        <f t="shared" ref="M40:T40" si="110">SUM(M41:M50)</f>
        <v>0</v>
      </c>
      <c r="N40" s="658">
        <f t="shared" si="110"/>
        <v>36.283999999999999</v>
      </c>
      <c r="O40" s="658">
        <f t="shared" si="110"/>
        <v>2842.2260000000001</v>
      </c>
      <c r="P40" s="658">
        <f t="shared" si="110"/>
        <v>0</v>
      </c>
      <c r="Q40" s="658">
        <f t="shared" si="110"/>
        <v>0</v>
      </c>
      <c r="R40" s="658">
        <f t="shared" si="110"/>
        <v>0</v>
      </c>
      <c r="S40" s="658">
        <f t="shared" si="110"/>
        <v>0</v>
      </c>
      <c r="T40" s="658">
        <f t="shared" si="110"/>
        <v>0</v>
      </c>
      <c r="U40" s="639">
        <f t="shared" si="40"/>
        <v>2878.51</v>
      </c>
      <c r="V40" s="624" t="str">
        <f t="shared" si="10"/>
        <v>MATCH</v>
      </c>
      <c r="W40" s="659">
        <f t="shared" ref="W40:BF40" si="111">W41+W42+W50</f>
        <v>2878.5099999999998</v>
      </c>
      <c r="X40" s="659">
        <f t="shared" si="111"/>
        <v>38184.255409999998</v>
      </c>
      <c r="Y40" s="660">
        <f t="shared" si="111"/>
        <v>-8141.4960000000001</v>
      </c>
      <c r="Z40" s="661">
        <f t="shared" si="111"/>
        <v>103419.96707999999</v>
      </c>
      <c r="AA40" s="656">
        <f t="shared" ref="AA40:AG40" si="112">SUM(AA41:AA50)</f>
        <v>0</v>
      </c>
      <c r="AB40" s="657">
        <f t="shared" si="112"/>
        <v>0</v>
      </c>
      <c r="AC40" s="657">
        <f t="shared" si="112"/>
        <v>0</v>
      </c>
      <c r="AD40" s="657">
        <f t="shared" si="112"/>
        <v>3751.7469999999998</v>
      </c>
      <c r="AE40" s="657">
        <f t="shared" si="112"/>
        <v>0</v>
      </c>
      <c r="AF40" s="657">
        <f t="shared" si="112"/>
        <v>0</v>
      </c>
      <c r="AG40" s="657">
        <f t="shared" si="112"/>
        <v>0</v>
      </c>
      <c r="AH40" s="639">
        <f t="shared" si="12"/>
        <v>3751.7469999999998</v>
      </c>
      <c r="AI40" s="639" t="str">
        <f t="shared" si="23"/>
        <v>MATCH</v>
      </c>
      <c r="AJ40" s="662">
        <f t="shared" si="111"/>
        <v>3751.7469999999998</v>
      </c>
      <c r="AK40" s="656">
        <f t="shared" ref="AK40:AQ40" si="113">SUM(AK41:AK50)</f>
        <v>0</v>
      </c>
      <c r="AL40" s="657">
        <f t="shared" si="113"/>
        <v>0</v>
      </c>
      <c r="AM40" s="657">
        <f t="shared" si="113"/>
        <v>76.224000000000004</v>
      </c>
      <c r="AN40" s="657">
        <f t="shared" si="113"/>
        <v>0</v>
      </c>
      <c r="AO40" s="657">
        <f t="shared" si="113"/>
        <v>0</v>
      </c>
      <c r="AP40" s="657">
        <f t="shared" si="113"/>
        <v>0</v>
      </c>
      <c r="AQ40" s="657">
        <f t="shared" si="113"/>
        <v>0</v>
      </c>
      <c r="AR40" s="662">
        <f t="shared" si="111"/>
        <v>75.602999999999994</v>
      </c>
      <c r="AS40" s="663">
        <f t="shared" si="73"/>
        <v>3827.35</v>
      </c>
      <c r="AT40" s="656">
        <f t="shared" ref="AT40:BA40" si="114">SUM(AT41:AT50)</f>
        <v>9956.1057699999983</v>
      </c>
      <c r="AU40" s="657">
        <f t="shared" si="114"/>
        <v>5807.2463100000004</v>
      </c>
      <c r="AV40" s="657">
        <f t="shared" si="114"/>
        <v>596.73800000000006</v>
      </c>
      <c r="AW40" s="657">
        <f t="shared" si="114"/>
        <v>16360.090080000002</v>
      </c>
      <c r="AX40" s="657">
        <f t="shared" si="114"/>
        <v>7296.4947199999997</v>
      </c>
      <c r="AY40" s="657">
        <f t="shared" si="114"/>
        <v>18187.315999999999</v>
      </c>
      <c r="AZ40" s="657">
        <f t="shared" si="114"/>
        <v>989.30700000000002</v>
      </c>
      <c r="BA40" s="657">
        <f t="shared" si="114"/>
        <v>26473.117719999998</v>
      </c>
      <c r="BB40" s="639">
        <f t="shared" si="14"/>
        <v>42833.207800000004</v>
      </c>
      <c r="BC40" s="639" t="str">
        <f t="shared" si="25"/>
        <v>MATCH</v>
      </c>
      <c r="BD40" s="662">
        <f t="shared" si="111"/>
        <v>42833.207799999996</v>
      </c>
      <c r="BE40" s="659">
        <f t="shared" si="111"/>
        <v>279356.84934999997</v>
      </c>
      <c r="BF40" s="662">
        <f t="shared" si="111"/>
        <v>240911.23824999999</v>
      </c>
      <c r="BG40" s="664">
        <f t="shared" si="26"/>
        <v>0.86237813323906609</v>
      </c>
      <c r="BH40" s="665">
        <f t="shared" si="75"/>
        <v>1.1529062623792269E-2</v>
      </c>
      <c r="BI40" s="666">
        <f t="shared" si="76"/>
        <v>4.8464557305681068E-4</v>
      </c>
      <c r="BJ40" s="665">
        <f>BD40/BL40</f>
        <v>1.2932731823671497E-2</v>
      </c>
      <c r="BK40" s="667">
        <f>BD40/BN40</f>
        <v>5.4365141645935922E-4</v>
      </c>
      <c r="BL40" s="658">
        <f t="shared" ref="BL40:BN40" si="115">BL41+BL42+BL50</f>
        <v>3312000</v>
      </c>
      <c r="BM40" s="657">
        <f t="shared" si="115"/>
        <v>37888000</v>
      </c>
      <c r="BN40" s="639">
        <f t="shared" si="115"/>
        <v>78788000</v>
      </c>
      <c r="BO40" s="636"/>
      <c r="BP40" s="637"/>
      <c r="BQ40" s="637"/>
      <c r="BR40" s="637"/>
      <c r="BS40" s="637"/>
      <c r="BT40" s="637"/>
      <c r="BU40" s="637"/>
      <c r="BV40" s="637"/>
      <c r="BW40" s="637"/>
      <c r="BX40" s="637"/>
      <c r="BY40" s="637"/>
      <c r="BZ40" s="637"/>
      <c r="CA40" s="637"/>
      <c r="CB40" s="638"/>
    </row>
    <row r="41" spans="1:82" ht="14.25" customHeight="1" x14ac:dyDescent="0.35">
      <c r="A41" s="671" t="s">
        <v>385</v>
      </c>
      <c r="B41" s="692">
        <f>'Water Dec'!B41/1000</f>
        <v>0</v>
      </c>
      <c r="C41" s="692">
        <f>'Water Dec'!C41/1000</f>
        <v>0</v>
      </c>
      <c r="D41" s="692">
        <f>'Water Dec'!D41/1000</f>
        <v>0</v>
      </c>
      <c r="E41" s="692">
        <f>'Water Dec'!E41/1000</f>
        <v>0</v>
      </c>
      <c r="F41" s="692">
        <f>'Water Dec'!F41/1000</f>
        <v>0</v>
      </c>
      <c r="G41" s="692">
        <f>'Water Dec'!G41/1000</f>
        <v>0</v>
      </c>
      <c r="H41" s="692">
        <f>'Water Dec'!H41/1000</f>
        <v>1.2E-2</v>
      </c>
      <c r="I41" s="692">
        <f>'Water Dec'!I41/1000</f>
        <v>0</v>
      </c>
      <c r="J41" s="692">
        <f>'Water Dec'!J41/1000</f>
        <v>1.2E-2</v>
      </c>
      <c r="K41" s="639" t="str">
        <f t="shared" si="15"/>
        <v>MATCH</v>
      </c>
      <c r="L41" s="692">
        <f>'Water Dec'!L41/1000</f>
        <v>1.2E-2</v>
      </c>
      <c r="M41" s="692">
        <f>'Water Dec'!M41/1000</f>
        <v>0</v>
      </c>
      <c r="N41" s="692">
        <f>'Water Dec'!N41/1000</f>
        <v>0</v>
      </c>
      <c r="O41" s="692">
        <f>'Water Dec'!O41/1000</f>
        <v>314.435</v>
      </c>
      <c r="P41" s="692">
        <f>'Water Dec'!P41/1000</f>
        <v>0</v>
      </c>
      <c r="Q41" s="692">
        <f>'Water Dec'!Q41/1000</f>
        <v>0</v>
      </c>
      <c r="R41" s="692">
        <f>'Water Dec'!R41/1000</f>
        <v>0</v>
      </c>
      <c r="S41" s="692">
        <f>'Water Dec'!S41/1000</f>
        <v>0</v>
      </c>
      <c r="T41" s="692">
        <f>'Water Dec'!T41/1000</f>
        <v>0</v>
      </c>
      <c r="U41" s="692">
        <f>'Water Dec'!U41/1000</f>
        <v>314.435</v>
      </c>
      <c r="V41" s="624" t="str">
        <f t="shared" si="10"/>
        <v>MATCH</v>
      </c>
      <c r="W41" s="692">
        <f>'Water Dec'!W41/1000</f>
        <v>314.435</v>
      </c>
      <c r="X41" s="692">
        <f>'Water Dec'!X41/1000</f>
        <v>314.447</v>
      </c>
      <c r="Y41" s="692">
        <f>'Water Dec'!Y41/1000</f>
        <v>45.146000000000001</v>
      </c>
      <c r="Z41" s="692">
        <f>'Water Dec'!Z41/1000</f>
        <v>0</v>
      </c>
      <c r="AA41" s="692">
        <f>'Water Dec'!AA41/1000</f>
        <v>0</v>
      </c>
      <c r="AB41" s="692">
        <f>'Water Dec'!AB41/1000</f>
        <v>0</v>
      </c>
      <c r="AC41" s="692">
        <f>'Water Dec'!AC41/1000</f>
        <v>0</v>
      </c>
      <c r="AD41" s="692">
        <f>'Water Dec'!AD41/1000</f>
        <v>0</v>
      </c>
      <c r="AE41" s="692">
        <f>'Water Dec'!AE41/1000</f>
        <v>0</v>
      </c>
      <c r="AF41" s="692">
        <f>'Water Dec'!AF41/1000</f>
        <v>0</v>
      </c>
      <c r="AG41" s="692">
        <f>'Water Dec'!AG41/1000</f>
        <v>0</v>
      </c>
      <c r="AH41" s="692">
        <f>'Water Dec'!AH41/1000</f>
        <v>0</v>
      </c>
      <c r="AI41" s="692" t="e">
        <f>'Water Dec'!AI41/1000</f>
        <v>#VALUE!</v>
      </c>
      <c r="AJ41" s="692">
        <f>'Water Dec'!AJ41/1000</f>
        <v>0</v>
      </c>
      <c r="AK41" s="692">
        <f>'Water Dec'!AK41/1000</f>
        <v>0</v>
      </c>
      <c r="AL41" s="692">
        <f>'Water Dec'!AL41/1000</f>
        <v>0</v>
      </c>
      <c r="AM41" s="692">
        <f>'Water Dec'!AM41/1000</f>
        <v>76.224000000000004</v>
      </c>
      <c r="AN41" s="692">
        <f>'Water Dec'!AN41/1000</f>
        <v>0</v>
      </c>
      <c r="AO41" s="692">
        <f>'Water Dec'!AO41/1000</f>
        <v>0</v>
      </c>
      <c r="AP41" s="692">
        <f>'Water Dec'!AP41/1000</f>
        <v>0</v>
      </c>
      <c r="AQ41" s="692">
        <f>'Water Dec'!AQ41/1000</f>
        <v>0</v>
      </c>
      <c r="AR41" s="692">
        <f>'Water Dec'!AR41/1000</f>
        <v>75.602999999999994</v>
      </c>
      <c r="AS41" s="692">
        <f>'Water Dec'!AS41/1000</f>
        <v>75.602999999999994</v>
      </c>
      <c r="AT41" s="692">
        <f>'Water Dec'!AT41/1000</f>
        <v>0</v>
      </c>
      <c r="AU41" s="692">
        <f>'Water Dec'!AU41/1000</f>
        <v>0</v>
      </c>
      <c r="AV41" s="692">
        <f>'Water Dec'!AV41/1000</f>
        <v>0</v>
      </c>
      <c r="AW41" s="692">
        <f>'Water Dec'!AW41/1000</f>
        <v>0</v>
      </c>
      <c r="AX41" s="692">
        <f>'Water Dec'!AX41/1000</f>
        <v>444.173</v>
      </c>
      <c r="AY41" s="692">
        <f>'Water Dec'!AY41/1000</f>
        <v>0</v>
      </c>
      <c r="AZ41" s="692">
        <f>'Water Dec'!AZ41/1000</f>
        <v>40.643000000000001</v>
      </c>
      <c r="BA41" s="692">
        <f>'Water Dec'!BA41/1000</f>
        <v>484.81599999999997</v>
      </c>
      <c r="BB41" s="692">
        <f>'Water Dec'!BB41/1000</f>
        <v>484.81599999999997</v>
      </c>
      <c r="BC41" s="692" t="e">
        <f>'Water Dec'!BC41/1000</f>
        <v>#VALUE!</v>
      </c>
      <c r="BD41" s="692">
        <f>'Water Dec'!BD41/1000</f>
        <v>484.81599999999997</v>
      </c>
      <c r="BE41" s="692">
        <f>'Water Dec'!BE41/1000</f>
        <v>325.78800000000001</v>
      </c>
      <c r="BF41" s="692">
        <f>'Water Dec'!BF41/1000</f>
        <v>0</v>
      </c>
      <c r="BG41" s="677">
        <f t="shared" si="26"/>
        <v>0</v>
      </c>
      <c r="BH41" s="674" t="s">
        <v>505</v>
      </c>
      <c r="BI41" s="674" t="s">
        <v>505</v>
      </c>
      <c r="BJ41" s="674" t="s">
        <v>505</v>
      </c>
      <c r="BK41" s="674" t="s">
        <v>505</v>
      </c>
      <c r="BL41" s="696">
        <f>ROUND('Water Dec'!BL41,-3)</f>
        <v>0</v>
      </c>
      <c r="BM41" s="697">
        <f>ROUND('Water Dec'!BM41,-3)</f>
        <v>0</v>
      </c>
      <c r="BN41" s="698">
        <f>ROUND('Water Dec'!BN41,-3)</f>
        <v>0</v>
      </c>
      <c r="BO41" s="636" t="s">
        <v>519</v>
      </c>
      <c r="BP41" s="637" t="s">
        <v>459</v>
      </c>
      <c r="BQ41" s="637" t="s">
        <v>479</v>
      </c>
      <c r="BR41" s="637" t="s">
        <v>484</v>
      </c>
      <c r="BS41" s="637"/>
      <c r="BT41" s="637" t="s">
        <v>463</v>
      </c>
      <c r="BU41" s="637" t="s">
        <v>464</v>
      </c>
      <c r="BV41" s="637" t="s">
        <v>465</v>
      </c>
      <c r="BW41" s="637" t="s">
        <v>520</v>
      </c>
      <c r="BX41" s="637" t="s">
        <v>521</v>
      </c>
      <c r="BY41" s="637" t="s">
        <v>522</v>
      </c>
      <c r="BZ41" s="637" t="s">
        <v>523</v>
      </c>
      <c r="CA41" s="637" t="s">
        <v>524</v>
      </c>
      <c r="CB41" s="638" t="s">
        <v>468</v>
      </c>
    </row>
    <row r="42" spans="1:82" ht="14.25" hidden="1" customHeight="1" x14ac:dyDescent="0.35">
      <c r="A42" s="688" t="s">
        <v>373</v>
      </c>
      <c r="B42" s="672"/>
      <c r="C42" s="689"/>
      <c r="D42" s="689"/>
      <c r="E42" s="689"/>
      <c r="F42" s="689"/>
      <c r="G42" s="689"/>
      <c r="H42" s="689"/>
      <c r="I42" s="689"/>
      <c r="J42" s="622">
        <f t="shared" si="19"/>
        <v>0</v>
      </c>
      <c r="K42" s="639" t="str">
        <f t="shared" si="15"/>
        <v>MATCH</v>
      </c>
      <c r="L42" s="622">
        <v>0</v>
      </c>
      <c r="M42" s="672"/>
      <c r="N42" s="690"/>
      <c r="O42" s="690"/>
      <c r="P42" s="690"/>
      <c r="Q42" s="690"/>
      <c r="R42" s="690"/>
      <c r="S42" s="690"/>
      <c r="T42" s="690"/>
      <c r="U42" s="622">
        <f t="shared" si="40"/>
        <v>0</v>
      </c>
      <c r="V42" s="624" t="str">
        <f t="shared" si="10"/>
        <v>MATCH</v>
      </c>
      <c r="W42" s="691">
        <v>0</v>
      </c>
      <c r="X42" s="691">
        <f t="shared" ref="X42:X49" si="116">L42+W42</f>
        <v>0</v>
      </c>
      <c r="Y42" s="692">
        <v>0</v>
      </c>
      <c r="Z42" s="679">
        <v>0</v>
      </c>
      <c r="AA42" s="672"/>
      <c r="AB42" s="689"/>
      <c r="AC42" s="689"/>
      <c r="AD42" s="689"/>
      <c r="AE42" s="689"/>
      <c r="AF42" s="689"/>
      <c r="AG42" s="689"/>
      <c r="AH42" s="622">
        <f t="shared" si="12"/>
        <v>0</v>
      </c>
      <c r="AI42" s="622" t="str">
        <f t="shared" si="23"/>
        <v>MATCH</v>
      </c>
      <c r="AJ42" s="693">
        <v>0</v>
      </c>
      <c r="AK42" s="672"/>
      <c r="AL42" s="689"/>
      <c r="AM42" s="689"/>
      <c r="AN42" s="689"/>
      <c r="AO42" s="689"/>
      <c r="AP42" s="689"/>
      <c r="AQ42" s="689"/>
      <c r="AR42" s="693">
        <v>0</v>
      </c>
      <c r="AS42" s="694">
        <f t="shared" si="73"/>
        <v>0</v>
      </c>
      <c r="AT42" s="672"/>
      <c r="AU42" s="689"/>
      <c r="AV42" s="689"/>
      <c r="AW42" s="689">
        <f t="shared" si="32"/>
        <v>0</v>
      </c>
      <c r="AX42" s="689"/>
      <c r="AY42" s="689"/>
      <c r="AZ42" s="689"/>
      <c r="BA42" s="689">
        <f t="shared" si="33"/>
        <v>0</v>
      </c>
      <c r="BB42" s="622">
        <f t="shared" si="14"/>
        <v>0</v>
      </c>
      <c r="BC42" s="622" t="str">
        <f t="shared" si="25"/>
        <v>MATCH</v>
      </c>
      <c r="BD42" s="693">
        <v>0</v>
      </c>
      <c r="BE42" s="695">
        <v>0</v>
      </c>
      <c r="BF42" s="692">
        <v>0</v>
      </c>
      <c r="BG42" s="677" t="e">
        <f t="shared" si="26"/>
        <v>#DIV/0!</v>
      </c>
      <c r="BH42" s="633" t="e">
        <f t="shared" si="75"/>
        <v>#DIV/0!</v>
      </c>
      <c r="BI42" s="674" t="e">
        <f t="shared" si="76"/>
        <v>#DIV/0!</v>
      </c>
      <c r="BJ42" s="633" t="e">
        <f t="shared" ref="BJ42:BJ49" si="117">BD42/BL42</f>
        <v>#DIV/0!</v>
      </c>
      <c r="BK42" s="675" t="e">
        <f t="shared" ref="BK42:BK49" si="118">BD42/BN42</f>
        <v>#DIV/0!</v>
      </c>
      <c r="BL42" s="696">
        <v>0</v>
      </c>
      <c r="BM42" s="697">
        <v>0</v>
      </c>
      <c r="BN42" s="698">
        <v>0</v>
      </c>
      <c r="BO42" s="636"/>
      <c r="BP42" s="637"/>
      <c r="BQ42" s="637"/>
      <c r="BR42" s="637"/>
      <c r="BS42" s="637"/>
      <c r="BT42" s="637"/>
      <c r="BU42" s="637"/>
      <c r="BV42" s="637"/>
      <c r="BW42" s="637"/>
      <c r="BX42" s="637"/>
      <c r="BY42" s="637"/>
      <c r="BZ42" s="637"/>
      <c r="CA42" s="637"/>
      <c r="CB42" s="638"/>
    </row>
    <row r="43" spans="1:82" ht="14.25" hidden="1" customHeight="1" x14ac:dyDescent="0.35">
      <c r="A43" s="688" t="s">
        <v>525</v>
      </c>
      <c r="B43" s="672"/>
      <c r="C43" s="689"/>
      <c r="D43" s="689"/>
      <c r="E43" s="689"/>
      <c r="F43" s="689"/>
      <c r="G43" s="689"/>
      <c r="H43" s="689"/>
      <c r="I43" s="689"/>
      <c r="J43" s="622">
        <f t="shared" si="19"/>
        <v>0</v>
      </c>
      <c r="K43" s="639" t="str">
        <f t="shared" si="15"/>
        <v>MATCH</v>
      </c>
      <c r="L43" s="622">
        <v>0</v>
      </c>
      <c r="M43" s="672"/>
      <c r="N43" s="690"/>
      <c r="O43" s="690"/>
      <c r="P43" s="690"/>
      <c r="Q43" s="690"/>
      <c r="R43" s="690"/>
      <c r="S43" s="690"/>
      <c r="T43" s="690"/>
      <c r="U43" s="622">
        <f t="shared" si="40"/>
        <v>0</v>
      </c>
      <c r="V43" s="624" t="str">
        <f t="shared" si="10"/>
        <v>MATCH</v>
      </c>
      <c r="W43" s="691">
        <v>0</v>
      </c>
      <c r="X43" s="691">
        <f t="shared" si="116"/>
        <v>0</v>
      </c>
      <c r="Y43" s="692">
        <v>0</v>
      </c>
      <c r="Z43" s="679">
        <v>0</v>
      </c>
      <c r="AA43" s="672"/>
      <c r="AB43" s="689"/>
      <c r="AC43" s="689"/>
      <c r="AD43" s="689"/>
      <c r="AE43" s="689"/>
      <c r="AF43" s="689"/>
      <c r="AG43" s="689"/>
      <c r="AH43" s="622">
        <f t="shared" si="12"/>
        <v>0</v>
      </c>
      <c r="AI43" s="622" t="str">
        <f t="shared" si="23"/>
        <v>MATCH</v>
      </c>
      <c r="AJ43" s="693">
        <v>0</v>
      </c>
      <c r="AK43" s="672"/>
      <c r="AL43" s="689"/>
      <c r="AM43" s="689"/>
      <c r="AN43" s="689"/>
      <c r="AO43" s="689"/>
      <c r="AP43" s="689"/>
      <c r="AQ43" s="689"/>
      <c r="AR43" s="693">
        <v>0</v>
      </c>
      <c r="AS43" s="694">
        <f t="shared" si="73"/>
        <v>0</v>
      </c>
      <c r="AT43" s="672"/>
      <c r="AU43" s="689"/>
      <c r="AV43" s="689"/>
      <c r="AW43" s="689">
        <f t="shared" si="32"/>
        <v>0</v>
      </c>
      <c r="AX43" s="689"/>
      <c r="AY43" s="689"/>
      <c r="AZ43" s="689"/>
      <c r="BA43" s="689">
        <f t="shared" si="33"/>
        <v>0</v>
      </c>
      <c r="BB43" s="622">
        <f t="shared" si="14"/>
        <v>0</v>
      </c>
      <c r="BC43" s="622" t="str">
        <f t="shared" si="25"/>
        <v>MATCH</v>
      </c>
      <c r="BD43" s="693">
        <v>0</v>
      </c>
      <c r="BE43" s="695">
        <v>0</v>
      </c>
      <c r="BF43" s="692">
        <v>0</v>
      </c>
      <c r="BG43" s="677" t="e">
        <f t="shared" si="26"/>
        <v>#DIV/0!</v>
      </c>
      <c r="BH43" s="633" t="e">
        <f t="shared" si="75"/>
        <v>#DIV/0!</v>
      </c>
      <c r="BI43" s="674" t="e">
        <f t="shared" si="76"/>
        <v>#DIV/0!</v>
      </c>
      <c r="BJ43" s="633" t="e">
        <f t="shared" si="117"/>
        <v>#DIV/0!</v>
      </c>
      <c r="BK43" s="675" t="e">
        <f t="shared" si="118"/>
        <v>#DIV/0!</v>
      </c>
      <c r="BL43" s="696">
        <v>0</v>
      </c>
      <c r="BM43" s="697">
        <v>0</v>
      </c>
      <c r="BN43" s="698">
        <v>0</v>
      </c>
      <c r="BO43" s="636"/>
      <c r="BP43" s="637"/>
      <c r="BQ43" s="637"/>
      <c r="BR43" s="637"/>
      <c r="BS43" s="637"/>
      <c r="BT43" s="637"/>
      <c r="BU43" s="637"/>
      <c r="BV43" s="637"/>
      <c r="BW43" s="637"/>
      <c r="BX43" s="637"/>
      <c r="BY43" s="637"/>
      <c r="BZ43" s="637"/>
      <c r="CA43" s="637"/>
      <c r="CB43" s="638"/>
    </row>
    <row r="44" spans="1:82" ht="14.25" hidden="1" customHeight="1" x14ac:dyDescent="0.35">
      <c r="A44" s="688" t="s">
        <v>526</v>
      </c>
      <c r="B44" s="672"/>
      <c r="C44" s="689"/>
      <c r="D44" s="689"/>
      <c r="E44" s="689"/>
      <c r="F44" s="689"/>
      <c r="G44" s="689"/>
      <c r="H44" s="689"/>
      <c r="I44" s="689"/>
      <c r="J44" s="622">
        <f t="shared" si="19"/>
        <v>0</v>
      </c>
      <c r="K44" s="639" t="str">
        <f t="shared" si="15"/>
        <v>MATCH</v>
      </c>
      <c r="L44" s="622">
        <v>0</v>
      </c>
      <c r="M44" s="672"/>
      <c r="N44" s="690"/>
      <c r="O44" s="690"/>
      <c r="P44" s="690"/>
      <c r="Q44" s="690"/>
      <c r="R44" s="690"/>
      <c r="S44" s="690"/>
      <c r="T44" s="690"/>
      <c r="U44" s="622">
        <f t="shared" si="40"/>
        <v>0</v>
      </c>
      <c r="V44" s="624" t="str">
        <f t="shared" si="10"/>
        <v>MATCH</v>
      </c>
      <c r="W44" s="691">
        <v>0</v>
      </c>
      <c r="X44" s="691">
        <f t="shared" si="116"/>
        <v>0</v>
      </c>
      <c r="Y44" s="692">
        <v>0</v>
      </c>
      <c r="Z44" s="679">
        <v>0</v>
      </c>
      <c r="AA44" s="672"/>
      <c r="AB44" s="689"/>
      <c r="AC44" s="689"/>
      <c r="AD44" s="689"/>
      <c r="AE44" s="689"/>
      <c r="AF44" s="689"/>
      <c r="AG44" s="689"/>
      <c r="AH44" s="622">
        <f t="shared" si="12"/>
        <v>0</v>
      </c>
      <c r="AI44" s="622" t="str">
        <f t="shared" si="23"/>
        <v>MATCH</v>
      </c>
      <c r="AJ44" s="693">
        <v>0</v>
      </c>
      <c r="AK44" s="672"/>
      <c r="AL44" s="689"/>
      <c r="AM44" s="689"/>
      <c r="AN44" s="689"/>
      <c r="AO44" s="689"/>
      <c r="AP44" s="689"/>
      <c r="AQ44" s="689"/>
      <c r="AR44" s="693">
        <v>0</v>
      </c>
      <c r="AS44" s="694">
        <f t="shared" si="73"/>
        <v>0</v>
      </c>
      <c r="AT44" s="672"/>
      <c r="AU44" s="689"/>
      <c r="AV44" s="689"/>
      <c r="AW44" s="689">
        <f t="shared" si="32"/>
        <v>0</v>
      </c>
      <c r="AX44" s="689"/>
      <c r="AY44" s="689"/>
      <c r="AZ44" s="689"/>
      <c r="BA44" s="689">
        <f t="shared" si="33"/>
        <v>0</v>
      </c>
      <c r="BB44" s="622">
        <f t="shared" si="14"/>
        <v>0</v>
      </c>
      <c r="BC44" s="622" t="str">
        <f t="shared" si="25"/>
        <v>MATCH</v>
      </c>
      <c r="BD44" s="693">
        <v>0</v>
      </c>
      <c r="BE44" s="695">
        <v>0</v>
      </c>
      <c r="BF44" s="692">
        <v>0</v>
      </c>
      <c r="BG44" s="677" t="e">
        <f t="shared" si="26"/>
        <v>#DIV/0!</v>
      </c>
      <c r="BH44" s="633" t="e">
        <f t="shared" si="75"/>
        <v>#DIV/0!</v>
      </c>
      <c r="BI44" s="674" t="e">
        <f t="shared" si="76"/>
        <v>#DIV/0!</v>
      </c>
      <c r="BJ44" s="633" t="e">
        <f t="shared" si="117"/>
        <v>#DIV/0!</v>
      </c>
      <c r="BK44" s="675" t="e">
        <f t="shared" si="118"/>
        <v>#DIV/0!</v>
      </c>
      <c r="BL44" s="696">
        <v>0</v>
      </c>
      <c r="BM44" s="697">
        <v>0</v>
      </c>
      <c r="BN44" s="698">
        <v>0</v>
      </c>
      <c r="BO44" s="636"/>
      <c r="BP44" s="637"/>
      <c r="BQ44" s="637"/>
      <c r="BR44" s="637"/>
      <c r="BS44" s="637"/>
      <c r="BT44" s="637"/>
      <c r="BU44" s="637"/>
      <c r="BV44" s="637"/>
      <c r="BW44" s="637"/>
      <c r="BX44" s="637"/>
      <c r="BY44" s="637"/>
      <c r="BZ44" s="637"/>
      <c r="CA44" s="637"/>
      <c r="CB44" s="638"/>
    </row>
    <row r="45" spans="1:82" ht="14.25" hidden="1" customHeight="1" x14ac:dyDescent="0.35">
      <c r="A45" s="688" t="s">
        <v>527</v>
      </c>
      <c r="B45" s="672"/>
      <c r="C45" s="689"/>
      <c r="D45" s="689"/>
      <c r="E45" s="689"/>
      <c r="F45" s="689"/>
      <c r="G45" s="689"/>
      <c r="H45" s="689"/>
      <c r="I45" s="689"/>
      <c r="J45" s="622">
        <f t="shared" si="19"/>
        <v>0</v>
      </c>
      <c r="K45" s="639" t="str">
        <f t="shared" si="15"/>
        <v>MATCH</v>
      </c>
      <c r="L45" s="622">
        <v>0</v>
      </c>
      <c r="M45" s="672"/>
      <c r="N45" s="690"/>
      <c r="O45" s="690"/>
      <c r="P45" s="690"/>
      <c r="Q45" s="690"/>
      <c r="R45" s="690"/>
      <c r="S45" s="690"/>
      <c r="T45" s="690"/>
      <c r="U45" s="622">
        <f t="shared" si="40"/>
        <v>0</v>
      </c>
      <c r="V45" s="624" t="str">
        <f t="shared" si="10"/>
        <v>MATCH</v>
      </c>
      <c r="W45" s="691">
        <v>0</v>
      </c>
      <c r="X45" s="691">
        <f t="shared" si="116"/>
        <v>0</v>
      </c>
      <c r="Y45" s="692">
        <v>0</v>
      </c>
      <c r="Z45" s="679">
        <v>0</v>
      </c>
      <c r="AA45" s="672"/>
      <c r="AB45" s="689"/>
      <c r="AC45" s="689"/>
      <c r="AD45" s="689"/>
      <c r="AE45" s="689"/>
      <c r="AF45" s="689"/>
      <c r="AG45" s="689"/>
      <c r="AH45" s="622">
        <f t="shared" si="12"/>
        <v>0</v>
      </c>
      <c r="AI45" s="622" t="str">
        <f t="shared" si="23"/>
        <v>MATCH</v>
      </c>
      <c r="AJ45" s="693">
        <v>0</v>
      </c>
      <c r="AK45" s="672"/>
      <c r="AL45" s="689"/>
      <c r="AM45" s="689"/>
      <c r="AN45" s="689"/>
      <c r="AO45" s="689"/>
      <c r="AP45" s="689"/>
      <c r="AQ45" s="689"/>
      <c r="AR45" s="693">
        <v>0</v>
      </c>
      <c r="AS45" s="694">
        <f t="shared" si="73"/>
        <v>0</v>
      </c>
      <c r="AT45" s="672"/>
      <c r="AU45" s="689"/>
      <c r="AV45" s="689"/>
      <c r="AW45" s="689">
        <f t="shared" si="32"/>
        <v>0</v>
      </c>
      <c r="AX45" s="689"/>
      <c r="AY45" s="689"/>
      <c r="AZ45" s="689"/>
      <c r="BA45" s="689">
        <f t="shared" si="33"/>
        <v>0</v>
      </c>
      <c r="BB45" s="622">
        <f t="shared" si="14"/>
        <v>0</v>
      </c>
      <c r="BC45" s="622" t="str">
        <f t="shared" si="25"/>
        <v>MATCH</v>
      </c>
      <c r="BD45" s="693">
        <v>0</v>
      </c>
      <c r="BE45" s="695">
        <v>0</v>
      </c>
      <c r="BF45" s="692">
        <v>0</v>
      </c>
      <c r="BG45" s="677" t="e">
        <f t="shared" si="26"/>
        <v>#DIV/0!</v>
      </c>
      <c r="BH45" s="633" t="e">
        <f t="shared" si="75"/>
        <v>#DIV/0!</v>
      </c>
      <c r="BI45" s="674" t="e">
        <f t="shared" si="76"/>
        <v>#DIV/0!</v>
      </c>
      <c r="BJ45" s="633" t="e">
        <f t="shared" si="117"/>
        <v>#DIV/0!</v>
      </c>
      <c r="BK45" s="675" t="e">
        <f t="shared" si="118"/>
        <v>#DIV/0!</v>
      </c>
      <c r="BL45" s="696">
        <v>0</v>
      </c>
      <c r="BM45" s="697">
        <v>0</v>
      </c>
      <c r="BN45" s="698">
        <v>0</v>
      </c>
      <c r="BO45" s="636"/>
      <c r="BP45" s="637"/>
      <c r="BQ45" s="637"/>
      <c r="BR45" s="637"/>
      <c r="BS45" s="637"/>
      <c r="BT45" s="637"/>
      <c r="BU45" s="637"/>
      <c r="BV45" s="637"/>
      <c r="BW45" s="637"/>
      <c r="BX45" s="637"/>
      <c r="BY45" s="637"/>
      <c r="BZ45" s="637"/>
      <c r="CA45" s="637"/>
      <c r="CB45" s="638"/>
    </row>
    <row r="46" spans="1:82" ht="14.25" hidden="1" customHeight="1" x14ac:dyDescent="0.35">
      <c r="A46" s="688" t="s">
        <v>528</v>
      </c>
      <c r="B46" s="672"/>
      <c r="C46" s="689"/>
      <c r="D46" s="689"/>
      <c r="E46" s="689"/>
      <c r="F46" s="689"/>
      <c r="G46" s="689"/>
      <c r="H46" s="689"/>
      <c r="I46" s="689"/>
      <c r="J46" s="622">
        <f t="shared" si="19"/>
        <v>0</v>
      </c>
      <c r="K46" s="639" t="str">
        <f t="shared" si="15"/>
        <v>MATCH</v>
      </c>
      <c r="L46" s="622">
        <v>0</v>
      </c>
      <c r="M46" s="672"/>
      <c r="N46" s="690"/>
      <c r="O46" s="690"/>
      <c r="P46" s="690"/>
      <c r="Q46" s="690"/>
      <c r="R46" s="690"/>
      <c r="S46" s="690"/>
      <c r="T46" s="690"/>
      <c r="U46" s="622">
        <f t="shared" si="40"/>
        <v>0</v>
      </c>
      <c r="V46" s="624" t="str">
        <f t="shared" si="10"/>
        <v>MATCH</v>
      </c>
      <c r="W46" s="691">
        <v>0</v>
      </c>
      <c r="X46" s="691">
        <f t="shared" si="116"/>
        <v>0</v>
      </c>
      <c r="Y46" s="692">
        <v>0</v>
      </c>
      <c r="Z46" s="679">
        <v>0</v>
      </c>
      <c r="AA46" s="672"/>
      <c r="AB46" s="689"/>
      <c r="AC46" s="689"/>
      <c r="AD46" s="689"/>
      <c r="AE46" s="689"/>
      <c r="AF46" s="689"/>
      <c r="AG46" s="689"/>
      <c r="AH46" s="622">
        <f t="shared" si="12"/>
        <v>0</v>
      </c>
      <c r="AI46" s="622" t="str">
        <f t="shared" si="23"/>
        <v>MATCH</v>
      </c>
      <c r="AJ46" s="693">
        <v>0</v>
      </c>
      <c r="AK46" s="672"/>
      <c r="AL46" s="689"/>
      <c r="AM46" s="689"/>
      <c r="AN46" s="689"/>
      <c r="AO46" s="689"/>
      <c r="AP46" s="689"/>
      <c r="AQ46" s="689"/>
      <c r="AR46" s="693">
        <v>0</v>
      </c>
      <c r="AS46" s="694">
        <f t="shared" si="73"/>
        <v>0</v>
      </c>
      <c r="AT46" s="672"/>
      <c r="AU46" s="689"/>
      <c r="AV46" s="689"/>
      <c r="AW46" s="689">
        <f t="shared" si="32"/>
        <v>0</v>
      </c>
      <c r="AX46" s="689"/>
      <c r="AY46" s="689"/>
      <c r="AZ46" s="689"/>
      <c r="BA46" s="689">
        <f t="shared" si="33"/>
        <v>0</v>
      </c>
      <c r="BB46" s="622">
        <f t="shared" si="14"/>
        <v>0</v>
      </c>
      <c r="BC46" s="622" t="str">
        <f t="shared" si="25"/>
        <v>MATCH</v>
      </c>
      <c r="BD46" s="693">
        <v>0</v>
      </c>
      <c r="BE46" s="695">
        <v>0</v>
      </c>
      <c r="BF46" s="692">
        <v>0</v>
      </c>
      <c r="BG46" s="677" t="e">
        <f t="shared" si="26"/>
        <v>#DIV/0!</v>
      </c>
      <c r="BH46" s="633" t="e">
        <f t="shared" si="75"/>
        <v>#DIV/0!</v>
      </c>
      <c r="BI46" s="674" t="e">
        <f t="shared" si="76"/>
        <v>#DIV/0!</v>
      </c>
      <c r="BJ46" s="633" t="e">
        <f t="shared" si="117"/>
        <v>#DIV/0!</v>
      </c>
      <c r="BK46" s="675" t="e">
        <f t="shared" si="118"/>
        <v>#DIV/0!</v>
      </c>
      <c r="BL46" s="696">
        <v>0</v>
      </c>
      <c r="BM46" s="697">
        <v>0</v>
      </c>
      <c r="BN46" s="698">
        <v>0</v>
      </c>
      <c r="BO46" s="636"/>
      <c r="BP46" s="637"/>
      <c r="BQ46" s="637"/>
      <c r="BR46" s="637"/>
      <c r="BS46" s="637"/>
      <c r="BT46" s="637"/>
      <c r="BU46" s="637"/>
      <c r="BV46" s="637"/>
      <c r="BW46" s="637"/>
      <c r="BX46" s="637"/>
      <c r="BY46" s="637"/>
      <c r="BZ46" s="637"/>
      <c r="CA46" s="637"/>
      <c r="CB46" s="638"/>
    </row>
    <row r="47" spans="1:82" ht="14.25" hidden="1" customHeight="1" x14ac:dyDescent="0.35">
      <c r="A47" s="688" t="s">
        <v>529</v>
      </c>
      <c r="B47" s="672"/>
      <c r="C47" s="689"/>
      <c r="D47" s="689"/>
      <c r="E47" s="689"/>
      <c r="F47" s="689"/>
      <c r="G47" s="689"/>
      <c r="H47" s="689"/>
      <c r="I47" s="689"/>
      <c r="J47" s="622">
        <f t="shared" si="19"/>
        <v>0</v>
      </c>
      <c r="K47" s="639" t="str">
        <f t="shared" si="15"/>
        <v>MATCH</v>
      </c>
      <c r="L47" s="622">
        <v>0</v>
      </c>
      <c r="M47" s="672"/>
      <c r="N47" s="690"/>
      <c r="O47" s="690"/>
      <c r="P47" s="690"/>
      <c r="Q47" s="690"/>
      <c r="R47" s="690"/>
      <c r="S47" s="690"/>
      <c r="T47" s="690"/>
      <c r="U47" s="622">
        <f t="shared" si="40"/>
        <v>0</v>
      </c>
      <c r="V47" s="624" t="str">
        <f t="shared" si="10"/>
        <v>MATCH</v>
      </c>
      <c r="W47" s="691">
        <v>0</v>
      </c>
      <c r="X47" s="691">
        <f t="shared" si="116"/>
        <v>0</v>
      </c>
      <c r="Y47" s="692">
        <v>0</v>
      </c>
      <c r="Z47" s="679">
        <v>0</v>
      </c>
      <c r="AA47" s="672"/>
      <c r="AB47" s="689"/>
      <c r="AC47" s="689"/>
      <c r="AD47" s="689"/>
      <c r="AE47" s="689"/>
      <c r="AF47" s="689"/>
      <c r="AG47" s="689"/>
      <c r="AH47" s="622">
        <f t="shared" si="12"/>
        <v>0</v>
      </c>
      <c r="AI47" s="622" t="str">
        <f t="shared" si="23"/>
        <v>MATCH</v>
      </c>
      <c r="AJ47" s="693">
        <v>0</v>
      </c>
      <c r="AK47" s="672"/>
      <c r="AL47" s="689"/>
      <c r="AM47" s="689"/>
      <c r="AN47" s="689"/>
      <c r="AO47" s="689"/>
      <c r="AP47" s="689"/>
      <c r="AQ47" s="689"/>
      <c r="AR47" s="693">
        <v>0</v>
      </c>
      <c r="AS47" s="694">
        <f t="shared" si="73"/>
        <v>0</v>
      </c>
      <c r="AT47" s="672"/>
      <c r="AU47" s="689"/>
      <c r="AV47" s="689"/>
      <c r="AW47" s="689">
        <f t="shared" si="32"/>
        <v>0</v>
      </c>
      <c r="AX47" s="689"/>
      <c r="AY47" s="689"/>
      <c r="AZ47" s="689"/>
      <c r="BA47" s="689">
        <f t="shared" si="33"/>
        <v>0</v>
      </c>
      <c r="BB47" s="622">
        <f t="shared" si="14"/>
        <v>0</v>
      </c>
      <c r="BC47" s="622" t="str">
        <f t="shared" si="25"/>
        <v>MATCH</v>
      </c>
      <c r="BD47" s="693">
        <v>0</v>
      </c>
      <c r="BE47" s="695">
        <v>0</v>
      </c>
      <c r="BF47" s="692">
        <v>0</v>
      </c>
      <c r="BG47" s="677" t="e">
        <f t="shared" si="26"/>
        <v>#DIV/0!</v>
      </c>
      <c r="BH47" s="633" t="e">
        <f t="shared" si="75"/>
        <v>#DIV/0!</v>
      </c>
      <c r="BI47" s="674" t="e">
        <f t="shared" si="76"/>
        <v>#DIV/0!</v>
      </c>
      <c r="BJ47" s="633" t="e">
        <f t="shared" si="117"/>
        <v>#DIV/0!</v>
      </c>
      <c r="BK47" s="675" t="e">
        <f t="shared" si="118"/>
        <v>#DIV/0!</v>
      </c>
      <c r="BL47" s="696">
        <v>0</v>
      </c>
      <c r="BM47" s="697">
        <v>0</v>
      </c>
      <c r="BN47" s="698">
        <v>0</v>
      </c>
      <c r="BO47" s="636"/>
      <c r="BP47" s="637"/>
      <c r="BQ47" s="637"/>
      <c r="BR47" s="637"/>
      <c r="BS47" s="637"/>
      <c r="BT47" s="637"/>
      <c r="BU47" s="637"/>
      <c r="BV47" s="637"/>
      <c r="BW47" s="637"/>
      <c r="BX47" s="637"/>
      <c r="BY47" s="637"/>
      <c r="BZ47" s="637"/>
      <c r="CA47" s="637"/>
      <c r="CB47" s="638"/>
    </row>
    <row r="48" spans="1:82" ht="14.25" hidden="1" customHeight="1" x14ac:dyDescent="0.35">
      <c r="A48" s="688" t="s">
        <v>530</v>
      </c>
      <c r="B48" s="672"/>
      <c r="C48" s="689"/>
      <c r="D48" s="689"/>
      <c r="E48" s="689"/>
      <c r="F48" s="689"/>
      <c r="G48" s="689"/>
      <c r="H48" s="689"/>
      <c r="I48" s="689"/>
      <c r="J48" s="622">
        <f t="shared" si="19"/>
        <v>0</v>
      </c>
      <c r="K48" s="639" t="str">
        <f t="shared" si="15"/>
        <v>MATCH</v>
      </c>
      <c r="L48" s="622">
        <v>0</v>
      </c>
      <c r="M48" s="672"/>
      <c r="N48" s="690"/>
      <c r="O48" s="690"/>
      <c r="P48" s="690"/>
      <c r="Q48" s="690"/>
      <c r="R48" s="690"/>
      <c r="S48" s="690"/>
      <c r="T48" s="690"/>
      <c r="U48" s="622">
        <f t="shared" si="40"/>
        <v>0</v>
      </c>
      <c r="V48" s="624" t="str">
        <f t="shared" si="10"/>
        <v>MATCH</v>
      </c>
      <c r="W48" s="691">
        <v>0</v>
      </c>
      <c r="X48" s="691">
        <f t="shared" si="116"/>
        <v>0</v>
      </c>
      <c r="Y48" s="692">
        <v>0</v>
      </c>
      <c r="Z48" s="679">
        <v>0</v>
      </c>
      <c r="AA48" s="672"/>
      <c r="AB48" s="689"/>
      <c r="AC48" s="689"/>
      <c r="AD48" s="689"/>
      <c r="AE48" s="689"/>
      <c r="AF48" s="689"/>
      <c r="AG48" s="689"/>
      <c r="AH48" s="622">
        <f t="shared" si="12"/>
        <v>0</v>
      </c>
      <c r="AI48" s="622" t="str">
        <f t="shared" si="23"/>
        <v>MATCH</v>
      </c>
      <c r="AJ48" s="693">
        <v>0</v>
      </c>
      <c r="AK48" s="672"/>
      <c r="AL48" s="689"/>
      <c r="AM48" s="689"/>
      <c r="AN48" s="689"/>
      <c r="AO48" s="689"/>
      <c r="AP48" s="689"/>
      <c r="AQ48" s="689"/>
      <c r="AR48" s="693">
        <v>0</v>
      </c>
      <c r="AS48" s="694">
        <f t="shared" si="73"/>
        <v>0</v>
      </c>
      <c r="AT48" s="672"/>
      <c r="AU48" s="689"/>
      <c r="AV48" s="689"/>
      <c r="AW48" s="689">
        <f t="shared" si="32"/>
        <v>0</v>
      </c>
      <c r="AX48" s="689"/>
      <c r="AY48" s="689"/>
      <c r="AZ48" s="689"/>
      <c r="BA48" s="689">
        <f t="shared" si="33"/>
        <v>0</v>
      </c>
      <c r="BB48" s="622">
        <f t="shared" si="14"/>
        <v>0</v>
      </c>
      <c r="BC48" s="622" t="str">
        <f t="shared" si="25"/>
        <v>MATCH</v>
      </c>
      <c r="BD48" s="693">
        <v>0</v>
      </c>
      <c r="BE48" s="695">
        <v>0</v>
      </c>
      <c r="BF48" s="692">
        <v>0</v>
      </c>
      <c r="BG48" s="677" t="e">
        <f t="shared" si="26"/>
        <v>#DIV/0!</v>
      </c>
      <c r="BH48" s="633" t="e">
        <f t="shared" si="75"/>
        <v>#DIV/0!</v>
      </c>
      <c r="BI48" s="674" t="e">
        <f t="shared" si="76"/>
        <v>#DIV/0!</v>
      </c>
      <c r="BJ48" s="633" t="e">
        <f t="shared" si="117"/>
        <v>#DIV/0!</v>
      </c>
      <c r="BK48" s="675" t="e">
        <f t="shared" si="118"/>
        <v>#DIV/0!</v>
      </c>
      <c r="BL48" s="696">
        <v>0</v>
      </c>
      <c r="BM48" s="697">
        <v>0</v>
      </c>
      <c r="BN48" s="698">
        <v>0</v>
      </c>
      <c r="BO48" s="636"/>
      <c r="BP48" s="637"/>
      <c r="BQ48" s="637"/>
      <c r="BR48" s="637"/>
      <c r="BS48" s="637"/>
      <c r="BT48" s="637"/>
      <c r="BU48" s="637"/>
      <c r="BV48" s="637"/>
      <c r="BW48" s="637"/>
      <c r="BX48" s="637"/>
      <c r="BY48" s="637"/>
      <c r="BZ48" s="637"/>
      <c r="CA48" s="637"/>
      <c r="CB48" s="638"/>
    </row>
    <row r="49" spans="1:80" ht="14.25" hidden="1" customHeight="1" x14ac:dyDescent="0.35">
      <c r="A49" s="688" t="s">
        <v>531</v>
      </c>
      <c r="B49" s="672"/>
      <c r="C49" s="689"/>
      <c r="D49" s="689"/>
      <c r="E49" s="689"/>
      <c r="F49" s="689"/>
      <c r="G49" s="689"/>
      <c r="H49" s="689"/>
      <c r="I49" s="689"/>
      <c r="J49" s="622">
        <f t="shared" si="19"/>
        <v>0</v>
      </c>
      <c r="K49" s="639" t="str">
        <f t="shared" si="15"/>
        <v>MATCH</v>
      </c>
      <c r="L49" s="622">
        <v>0</v>
      </c>
      <c r="M49" s="672"/>
      <c r="N49" s="690"/>
      <c r="O49" s="690"/>
      <c r="P49" s="690"/>
      <c r="Q49" s="690"/>
      <c r="R49" s="690"/>
      <c r="S49" s="690"/>
      <c r="T49" s="690"/>
      <c r="U49" s="622">
        <f t="shared" si="40"/>
        <v>0</v>
      </c>
      <c r="V49" s="624" t="str">
        <f t="shared" si="10"/>
        <v>MATCH</v>
      </c>
      <c r="W49" s="691">
        <v>0</v>
      </c>
      <c r="X49" s="691">
        <f t="shared" si="116"/>
        <v>0</v>
      </c>
      <c r="Y49" s="692">
        <v>0</v>
      </c>
      <c r="Z49" s="679">
        <v>0</v>
      </c>
      <c r="AA49" s="672"/>
      <c r="AB49" s="689"/>
      <c r="AC49" s="689"/>
      <c r="AD49" s="689"/>
      <c r="AE49" s="689"/>
      <c r="AF49" s="689"/>
      <c r="AG49" s="689"/>
      <c r="AH49" s="622">
        <f t="shared" si="12"/>
        <v>0</v>
      </c>
      <c r="AI49" s="622" t="str">
        <f t="shared" si="23"/>
        <v>MATCH</v>
      </c>
      <c r="AJ49" s="693">
        <v>0</v>
      </c>
      <c r="AK49" s="672"/>
      <c r="AL49" s="689"/>
      <c r="AM49" s="689"/>
      <c r="AN49" s="689"/>
      <c r="AO49" s="689"/>
      <c r="AP49" s="689"/>
      <c r="AQ49" s="689"/>
      <c r="AR49" s="693">
        <v>0</v>
      </c>
      <c r="AS49" s="694">
        <f t="shared" si="73"/>
        <v>0</v>
      </c>
      <c r="AT49" s="672"/>
      <c r="AU49" s="689"/>
      <c r="AV49" s="689"/>
      <c r="AW49" s="689">
        <f t="shared" si="32"/>
        <v>0</v>
      </c>
      <c r="AX49" s="689"/>
      <c r="AY49" s="689"/>
      <c r="AZ49" s="689"/>
      <c r="BA49" s="689">
        <f t="shared" si="33"/>
        <v>0</v>
      </c>
      <c r="BB49" s="622">
        <f t="shared" si="14"/>
        <v>0</v>
      </c>
      <c r="BC49" s="622" t="str">
        <f t="shared" si="25"/>
        <v>MATCH</v>
      </c>
      <c r="BD49" s="693">
        <v>0</v>
      </c>
      <c r="BE49" s="695">
        <v>0</v>
      </c>
      <c r="BF49" s="692">
        <v>0</v>
      </c>
      <c r="BG49" s="677" t="e">
        <f t="shared" si="26"/>
        <v>#DIV/0!</v>
      </c>
      <c r="BH49" s="633" t="e">
        <f t="shared" si="75"/>
        <v>#DIV/0!</v>
      </c>
      <c r="BI49" s="674" t="e">
        <f t="shared" si="76"/>
        <v>#DIV/0!</v>
      </c>
      <c r="BJ49" s="633" t="e">
        <f t="shared" si="117"/>
        <v>#DIV/0!</v>
      </c>
      <c r="BK49" s="675" t="e">
        <f t="shared" si="118"/>
        <v>#DIV/0!</v>
      </c>
      <c r="BL49" s="696">
        <v>0</v>
      </c>
      <c r="BM49" s="697">
        <v>0</v>
      </c>
      <c r="BN49" s="698">
        <v>0</v>
      </c>
      <c r="BO49" s="636"/>
      <c r="BP49" s="637"/>
      <c r="BQ49" s="637"/>
      <c r="BR49" s="637"/>
      <c r="BS49" s="637"/>
      <c r="BT49" s="637"/>
      <c r="BU49" s="637"/>
      <c r="BV49" s="637"/>
      <c r="BW49" s="637"/>
      <c r="BX49" s="637"/>
      <c r="BY49" s="637"/>
      <c r="BZ49" s="637"/>
      <c r="CA49" s="637"/>
      <c r="CB49" s="638"/>
    </row>
    <row r="50" spans="1:80" ht="14.25" customHeight="1" x14ac:dyDescent="0.35">
      <c r="A50" s="699" t="s">
        <v>386</v>
      </c>
      <c r="B50" s="656">
        <f t="shared" ref="B50:I50" si="119">SUM(B51:B56)</f>
        <v>200.05359999999999</v>
      </c>
      <c r="C50" s="657">
        <f t="shared" si="119"/>
        <v>0</v>
      </c>
      <c r="D50" s="657">
        <f t="shared" si="119"/>
        <v>0</v>
      </c>
      <c r="E50" s="657">
        <f t="shared" si="119"/>
        <v>17146.74581</v>
      </c>
      <c r="F50" s="657">
        <f t="shared" si="119"/>
        <v>17958.933999999997</v>
      </c>
      <c r="G50" s="657">
        <f t="shared" si="119"/>
        <v>0</v>
      </c>
      <c r="H50" s="657">
        <f t="shared" si="119"/>
        <v>0</v>
      </c>
      <c r="I50" s="657">
        <f t="shared" si="119"/>
        <v>0</v>
      </c>
      <c r="J50" s="639">
        <f t="shared" si="19"/>
        <v>35305.733410000001</v>
      </c>
      <c r="K50" s="639" t="str">
        <f t="shared" si="15"/>
        <v>MATCH</v>
      </c>
      <c r="L50" s="639">
        <f>SUM(L51:L58)</f>
        <v>35305.733410000001</v>
      </c>
      <c r="M50" s="656">
        <f t="shared" ref="M50:T50" si="120">SUM(M51:M56)</f>
        <v>0</v>
      </c>
      <c r="N50" s="658">
        <f t="shared" si="120"/>
        <v>36.283999999999999</v>
      </c>
      <c r="O50" s="658">
        <f t="shared" si="120"/>
        <v>2527.7910000000002</v>
      </c>
      <c r="P50" s="658">
        <f t="shared" si="120"/>
        <v>0</v>
      </c>
      <c r="Q50" s="658">
        <f t="shared" si="120"/>
        <v>0</v>
      </c>
      <c r="R50" s="658">
        <f t="shared" si="120"/>
        <v>0</v>
      </c>
      <c r="S50" s="658">
        <f t="shared" si="120"/>
        <v>0</v>
      </c>
      <c r="T50" s="658">
        <f t="shared" si="120"/>
        <v>0</v>
      </c>
      <c r="U50" s="639">
        <f t="shared" si="40"/>
        <v>2564.0750000000003</v>
      </c>
      <c r="V50" s="624" t="str">
        <f t="shared" si="10"/>
        <v>MATCH</v>
      </c>
      <c r="W50" s="659">
        <f>SUM(W51:W58)</f>
        <v>2564.0749999999998</v>
      </c>
      <c r="X50" s="659">
        <f>SUM(X51:X58)</f>
        <v>37869.808409999998</v>
      </c>
      <c r="Y50" s="660">
        <f>SUM(Y51:Y58)</f>
        <v>-8186.6419999999998</v>
      </c>
      <c r="Z50" s="661">
        <f>SUM(Z51:Z58)</f>
        <v>103419.96707999999</v>
      </c>
      <c r="AA50" s="656">
        <f t="shared" ref="AA50:AG50" si="121">SUM(AA51:AA56)</f>
        <v>0</v>
      </c>
      <c r="AB50" s="657">
        <f t="shared" si="121"/>
        <v>0</v>
      </c>
      <c r="AC50" s="657">
        <f t="shared" si="121"/>
        <v>0</v>
      </c>
      <c r="AD50" s="657">
        <f t="shared" si="121"/>
        <v>3751.7469999999998</v>
      </c>
      <c r="AE50" s="657">
        <f t="shared" si="121"/>
        <v>0</v>
      </c>
      <c r="AF50" s="657">
        <f t="shared" si="121"/>
        <v>0</v>
      </c>
      <c r="AG50" s="657">
        <f t="shared" si="121"/>
        <v>0</v>
      </c>
      <c r="AH50" s="639">
        <f t="shared" si="12"/>
        <v>3751.7469999999998</v>
      </c>
      <c r="AI50" s="639" t="str">
        <f t="shared" si="23"/>
        <v>MATCH</v>
      </c>
      <c r="AJ50" s="662">
        <f>SUM(AJ51:AJ58)</f>
        <v>3751.7469999999998</v>
      </c>
      <c r="AK50" s="656">
        <f t="shared" ref="AK50:AQ50" si="122">SUM(AK51:AK56)</f>
        <v>0</v>
      </c>
      <c r="AL50" s="657">
        <f t="shared" si="122"/>
        <v>0</v>
      </c>
      <c r="AM50" s="657">
        <f t="shared" si="122"/>
        <v>0</v>
      </c>
      <c r="AN50" s="657">
        <f t="shared" si="122"/>
        <v>0</v>
      </c>
      <c r="AO50" s="657">
        <f t="shared" si="122"/>
        <v>0</v>
      </c>
      <c r="AP50" s="657">
        <f t="shared" si="122"/>
        <v>0</v>
      </c>
      <c r="AQ50" s="657">
        <f t="shared" si="122"/>
        <v>0</v>
      </c>
      <c r="AR50" s="662">
        <f>SUM(AR51:AR58)</f>
        <v>0</v>
      </c>
      <c r="AS50" s="663">
        <f t="shared" si="73"/>
        <v>3751.7469999999998</v>
      </c>
      <c r="AT50" s="656">
        <f t="shared" ref="AT50:BA50" si="123">SUM(AT51:AT56)</f>
        <v>9956.1057699999983</v>
      </c>
      <c r="AU50" s="657">
        <f t="shared" si="123"/>
        <v>5807.2463100000004</v>
      </c>
      <c r="AV50" s="657">
        <f t="shared" si="123"/>
        <v>596.73800000000006</v>
      </c>
      <c r="AW50" s="657">
        <f t="shared" si="123"/>
        <v>16360.090080000002</v>
      </c>
      <c r="AX50" s="657">
        <f t="shared" si="123"/>
        <v>6852.3217199999999</v>
      </c>
      <c r="AY50" s="657">
        <f t="shared" si="123"/>
        <v>18187.315999999999</v>
      </c>
      <c r="AZ50" s="657">
        <f t="shared" si="123"/>
        <v>948.66399999999999</v>
      </c>
      <c r="BA50" s="657">
        <f t="shared" si="123"/>
        <v>25988.301719999999</v>
      </c>
      <c r="BB50" s="639">
        <f t="shared" si="14"/>
        <v>42348.391799999998</v>
      </c>
      <c r="BC50" s="639" t="str">
        <f t="shared" si="25"/>
        <v>MATCH</v>
      </c>
      <c r="BD50" s="662">
        <f>SUM(BD51:BD58)</f>
        <v>42348.391799999998</v>
      </c>
      <c r="BE50" s="659">
        <f>SUM(BE51:BE58)</f>
        <v>279031.06134999997</v>
      </c>
      <c r="BF50" s="662">
        <f>SUM(BF51:BF58)</f>
        <v>240911.23824999999</v>
      </c>
      <c r="BG50" s="664">
        <f t="shared" si="26"/>
        <v>0.86338501916034094</v>
      </c>
      <c r="BH50" s="665">
        <f t="shared" si="75"/>
        <v>1.143412089673913E-2</v>
      </c>
      <c r="BI50" s="666">
        <f t="shared" si="76"/>
        <v>4.806545211199675E-4</v>
      </c>
      <c r="BJ50" s="665">
        <f>BD50/BL50</f>
        <v>1.2786350181159419E-2</v>
      </c>
      <c r="BK50" s="667">
        <f>BD50/BN50</f>
        <v>5.3749799208001217E-4</v>
      </c>
      <c r="BL50" s="658">
        <f>SUM(BL51:BL58)</f>
        <v>3312000</v>
      </c>
      <c r="BM50" s="657">
        <f>SUM(BM51:BM58)</f>
        <v>37888000</v>
      </c>
      <c r="BN50" s="639">
        <f>SUM(BN51:BN58)</f>
        <v>78788000</v>
      </c>
      <c r="BO50" s="636"/>
      <c r="BP50" s="637"/>
      <c r="BQ50" s="637"/>
      <c r="BR50" s="637"/>
      <c r="BS50" s="637"/>
      <c r="BT50" s="637"/>
      <c r="BU50" s="637"/>
      <c r="BV50" s="637"/>
      <c r="BW50" s="637"/>
      <c r="BX50" s="637"/>
      <c r="BY50" s="637"/>
      <c r="BZ50" s="637"/>
      <c r="CA50" s="637"/>
      <c r="CB50" s="638"/>
    </row>
    <row r="51" spans="1:80" ht="14.25" customHeight="1" x14ac:dyDescent="0.35">
      <c r="A51" s="700" t="s">
        <v>532</v>
      </c>
      <c r="B51" s="672">
        <f>'Water Dec'!B51/1000</f>
        <v>0</v>
      </c>
      <c r="C51" s="672">
        <f>'Water Dec'!C51/1000</f>
        <v>0</v>
      </c>
      <c r="D51" s="672">
        <f>'Water Dec'!D51/1000</f>
        <v>0</v>
      </c>
      <c r="E51" s="672">
        <f>'Water Dec'!E51/1000</f>
        <v>0</v>
      </c>
      <c r="F51" s="672">
        <f>'Water Dec'!F51/1000</f>
        <v>17876.260999999999</v>
      </c>
      <c r="G51" s="672">
        <f>'Water Dec'!G51/1000</f>
        <v>0</v>
      </c>
      <c r="H51" s="672">
        <f>'Water Dec'!H51/1000</f>
        <v>0</v>
      </c>
      <c r="I51" s="672">
        <f>'Water Dec'!I51/1000</f>
        <v>0</v>
      </c>
      <c r="J51" s="672">
        <f>'Water Dec'!J51/1000</f>
        <v>17876.260999999999</v>
      </c>
      <c r="K51" s="639" t="str">
        <f t="shared" si="15"/>
        <v>MATCH</v>
      </c>
      <c r="L51" s="672">
        <f>'Water Dec'!L51/1000</f>
        <v>17876.260999999999</v>
      </c>
      <c r="M51" s="672">
        <f>'Water Dec'!M51/1000</f>
        <v>0</v>
      </c>
      <c r="N51" s="672">
        <f>'Water Dec'!N51/1000</f>
        <v>0</v>
      </c>
      <c r="O51" s="672">
        <f>'Water Dec'!O51/1000</f>
        <v>0</v>
      </c>
      <c r="P51" s="672">
        <f>'Water Dec'!P51/1000</f>
        <v>0</v>
      </c>
      <c r="Q51" s="672">
        <f>'Water Dec'!Q51/1000</f>
        <v>0</v>
      </c>
      <c r="R51" s="672">
        <f>'Water Dec'!R51/1000</f>
        <v>0</v>
      </c>
      <c r="S51" s="672">
        <f>'Water Dec'!S51/1000</f>
        <v>0</v>
      </c>
      <c r="T51" s="672">
        <f>'Water Dec'!T51/1000</f>
        <v>0</v>
      </c>
      <c r="U51" s="672">
        <f>'Water Dec'!U51/1000</f>
        <v>0</v>
      </c>
      <c r="V51" s="624" t="str">
        <f t="shared" si="10"/>
        <v>MATCH</v>
      </c>
      <c r="W51" s="672">
        <f>'Water Dec'!W51/1000</f>
        <v>0</v>
      </c>
      <c r="X51" s="672">
        <f>'Water Dec'!X51/1000</f>
        <v>17876.260999999999</v>
      </c>
      <c r="Y51" s="672">
        <f>'Water Dec'!Y51/1000</f>
        <v>2468.181</v>
      </c>
      <c r="Z51" s="672">
        <f>'Water Dec'!Z51/1000</f>
        <v>48240.975159999995</v>
      </c>
      <c r="AA51" s="672">
        <f>'Water Dec'!AA51/1000</f>
        <v>0</v>
      </c>
      <c r="AB51" s="672">
        <f>'Water Dec'!AB51/1000</f>
        <v>0</v>
      </c>
      <c r="AC51" s="672">
        <f>'Water Dec'!AC51/1000</f>
        <v>0</v>
      </c>
      <c r="AD51" s="672">
        <f>'Water Dec'!AD51/1000</f>
        <v>3751.7469999999998</v>
      </c>
      <c r="AE51" s="672">
        <f>'Water Dec'!AE51/1000</f>
        <v>0</v>
      </c>
      <c r="AF51" s="672">
        <f>'Water Dec'!AF51/1000</f>
        <v>0</v>
      </c>
      <c r="AG51" s="672">
        <f>'Water Dec'!AG51/1000</f>
        <v>0</v>
      </c>
      <c r="AH51" s="672">
        <f>'Water Dec'!AH51/1000</f>
        <v>3751.7469999999998</v>
      </c>
      <c r="AI51" s="672" t="e">
        <f>'Water Dec'!AI51/1000</f>
        <v>#VALUE!</v>
      </c>
      <c r="AJ51" s="672">
        <f>'Water Dec'!AJ51/1000</f>
        <v>3751.7469999999998</v>
      </c>
      <c r="AK51" s="672">
        <f>'Water Dec'!AK51/1000</f>
        <v>0</v>
      </c>
      <c r="AL51" s="672">
        <f>'Water Dec'!AL51/1000</f>
        <v>0</v>
      </c>
      <c r="AM51" s="672">
        <f>'Water Dec'!AM51/1000</f>
        <v>0</v>
      </c>
      <c r="AN51" s="672">
        <f>'Water Dec'!AN51/1000</f>
        <v>0</v>
      </c>
      <c r="AO51" s="672">
        <f>'Water Dec'!AO51/1000</f>
        <v>0</v>
      </c>
      <c r="AP51" s="672">
        <f>'Water Dec'!AP51/1000</f>
        <v>0</v>
      </c>
      <c r="AQ51" s="672">
        <f>'Water Dec'!AQ51/1000</f>
        <v>0</v>
      </c>
      <c r="AR51" s="672">
        <f>'Water Dec'!AR51/1000</f>
        <v>0</v>
      </c>
      <c r="AS51" s="672">
        <f>'Water Dec'!AS51/1000</f>
        <v>3751.7469999999998</v>
      </c>
      <c r="AT51" s="672">
        <f>'Water Dec'!AT51/1000</f>
        <v>6970.9709999999995</v>
      </c>
      <c r="AU51" s="672">
        <f>'Water Dec'!AU51/1000</f>
        <v>4388.0640000000003</v>
      </c>
      <c r="AV51" s="672">
        <f>'Water Dec'!AV51/1000</f>
        <v>0</v>
      </c>
      <c r="AW51" s="672">
        <f>'Water Dec'!AW51/1000</f>
        <v>11359.035</v>
      </c>
      <c r="AX51" s="672">
        <f>'Water Dec'!AX51/1000</f>
        <v>0</v>
      </c>
      <c r="AY51" s="672">
        <f>'Water Dec'!AY51/1000</f>
        <v>0</v>
      </c>
      <c r="AZ51" s="672">
        <f>'Water Dec'!AZ51/1000</f>
        <v>0</v>
      </c>
      <c r="BA51" s="672">
        <f>'Water Dec'!BA51/1000</f>
        <v>0</v>
      </c>
      <c r="BB51" s="672">
        <f>'Water Dec'!BB51/1000</f>
        <v>11359.035</v>
      </c>
      <c r="BC51" s="672" t="e">
        <f>'Water Dec'!BC51/1000</f>
        <v>#VALUE!</v>
      </c>
      <c r="BD51" s="672">
        <f>'Water Dec'!BD51/1000</f>
        <v>11359.035</v>
      </c>
      <c r="BE51" s="672">
        <f>'Water Dec'!BE51/1000</f>
        <v>122796.579</v>
      </c>
      <c r="BF51" s="672">
        <f>'Water Dec'!BF51/1000</f>
        <v>104246.976</v>
      </c>
      <c r="BG51" s="677">
        <f t="shared" si="26"/>
        <v>0.84894039271240607</v>
      </c>
      <c r="BH51" s="633">
        <f t="shared" si="75"/>
        <v>1.1925457638425617E-2</v>
      </c>
      <c r="BI51" s="674">
        <f t="shared" si="76"/>
        <v>7.4459600966344543E-4</v>
      </c>
      <c r="BJ51" s="633">
        <f t="shared" ref="BJ51:BJ56" si="124">BD51/BL51</f>
        <v>7.5777418278852567E-3</v>
      </c>
      <c r="BK51" s="675">
        <f t="shared" ref="BK51:BK52" si="125">BD51/BN51</f>
        <v>4.7313541319560145E-4</v>
      </c>
      <c r="BL51" s="676">
        <f>ROUND('Water Dec'!BL51,-3)</f>
        <v>1499000</v>
      </c>
      <c r="BM51" s="685">
        <f>ROUND('Water Dec'!BM51,-3)</f>
        <v>0</v>
      </c>
      <c r="BN51" s="686">
        <f>ROUND('Water Dec'!BN51,-3)</f>
        <v>24008000</v>
      </c>
      <c r="BO51" s="636" t="s">
        <v>533</v>
      </c>
      <c r="BP51" s="637" t="s">
        <v>459</v>
      </c>
      <c r="BQ51" s="637" t="s">
        <v>460</v>
      </c>
      <c r="BR51" s="637" t="s">
        <v>479</v>
      </c>
      <c r="BS51" s="637" t="s">
        <v>480</v>
      </c>
      <c r="BT51" s="637" t="s">
        <v>509</v>
      </c>
      <c r="BU51" s="637" t="s">
        <v>464</v>
      </c>
      <c r="BV51" s="637" t="s">
        <v>465</v>
      </c>
      <c r="BW51" s="637" t="s">
        <v>467</v>
      </c>
      <c r="BX51" s="637" t="s">
        <v>466</v>
      </c>
      <c r="BY51" s="637" t="s">
        <v>522</v>
      </c>
      <c r="BZ51" s="637" t="s">
        <v>481</v>
      </c>
      <c r="CA51" s="637" t="s">
        <v>456</v>
      </c>
      <c r="CB51" s="638" t="s">
        <v>468</v>
      </c>
    </row>
    <row r="52" spans="1:80" ht="14.25" customHeight="1" x14ac:dyDescent="0.35">
      <c r="A52" s="700" t="s">
        <v>389</v>
      </c>
      <c r="B52" s="672">
        <f>'Water Dec'!B52/1000</f>
        <v>0</v>
      </c>
      <c r="C52" s="672">
        <f>'Water Dec'!C52/1000</f>
        <v>0</v>
      </c>
      <c r="D52" s="672">
        <f>'Water Dec'!D52/1000</f>
        <v>0</v>
      </c>
      <c r="E52" s="672">
        <f>'Water Dec'!E52/1000</f>
        <v>3866.6514099999999</v>
      </c>
      <c r="F52" s="672">
        <f>'Water Dec'!F52/1000</f>
        <v>0</v>
      </c>
      <c r="G52" s="672">
        <f>'Water Dec'!G52/1000</f>
        <v>0</v>
      </c>
      <c r="H52" s="672">
        <f>'Water Dec'!H52/1000</f>
        <v>0</v>
      </c>
      <c r="I52" s="672">
        <f>'Water Dec'!I52/1000</f>
        <v>0</v>
      </c>
      <c r="J52" s="672">
        <f>'Water Dec'!J52/1000</f>
        <v>3866.6514099999999</v>
      </c>
      <c r="K52" s="639" t="str">
        <f t="shared" si="15"/>
        <v>MATCH</v>
      </c>
      <c r="L52" s="672">
        <f>'Water Dec'!L52/1000</f>
        <v>3866.6514099999999</v>
      </c>
      <c r="M52" s="672">
        <f>'Water Dec'!M52/1000</f>
        <v>0</v>
      </c>
      <c r="N52" s="672">
        <f>'Water Dec'!N52/1000</f>
        <v>0</v>
      </c>
      <c r="O52" s="672">
        <f>'Water Dec'!O52/1000</f>
        <v>0</v>
      </c>
      <c r="P52" s="672">
        <f>'Water Dec'!P52/1000</f>
        <v>0</v>
      </c>
      <c r="Q52" s="672">
        <f>'Water Dec'!Q52/1000</f>
        <v>0</v>
      </c>
      <c r="R52" s="672">
        <f>'Water Dec'!R52/1000</f>
        <v>0</v>
      </c>
      <c r="S52" s="672">
        <f>'Water Dec'!S52/1000</f>
        <v>0</v>
      </c>
      <c r="T52" s="672">
        <f>'Water Dec'!T52/1000</f>
        <v>0</v>
      </c>
      <c r="U52" s="672">
        <f>'Water Dec'!U52/1000</f>
        <v>0</v>
      </c>
      <c r="V52" s="624" t="str">
        <f t="shared" si="10"/>
        <v>MATCH</v>
      </c>
      <c r="W52" s="672">
        <f>'Water Dec'!W52/1000</f>
        <v>0</v>
      </c>
      <c r="X52" s="672">
        <f>'Water Dec'!X52/1000</f>
        <v>3866.6514099999999</v>
      </c>
      <c r="Y52" s="672">
        <f>'Water Dec'!Y52/1000</f>
        <v>0</v>
      </c>
      <c r="Z52" s="672">
        <f>'Water Dec'!Z52/1000</f>
        <v>48046.927920000002</v>
      </c>
      <c r="AA52" s="672">
        <f>'Water Dec'!AA52/1000</f>
        <v>0</v>
      </c>
      <c r="AB52" s="672">
        <f>'Water Dec'!AB52/1000</f>
        <v>0</v>
      </c>
      <c r="AC52" s="672">
        <f>'Water Dec'!AC52/1000</f>
        <v>0</v>
      </c>
      <c r="AD52" s="672">
        <f>'Water Dec'!AD52/1000</f>
        <v>0</v>
      </c>
      <c r="AE52" s="672">
        <f>'Water Dec'!AE52/1000</f>
        <v>0</v>
      </c>
      <c r="AF52" s="672">
        <f>'Water Dec'!AF52/1000</f>
        <v>0</v>
      </c>
      <c r="AG52" s="672">
        <f>'Water Dec'!AG52/1000</f>
        <v>0</v>
      </c>
      <c r="AH52" s="672">
        <f>'Water Dec'!AH52/1000</f>
        <v>0</v>
      </c>
      <c r="AI52" s="672" t="e">
        <f>'Water Dec'!AI52/1000</f>
        <v>#VALUE!</v>
      </c>
      <c r="AJ52" s="672">
        <f>'Water Dec'!AJ52/1000</f>
        <v>0</v>
      </c>
      <c r="AK52" s="672">
        <f>'Water Dec'!AK52/1000</f>
        <v>0</v>
      </c>
      <c r="AL52" s="672">
        <f>'Water Dec'!AL52/1000</f>
        <v>0</v>
      </c>
      <c r="AM52" s="672">
        <f>'Water Dec'!AM52/1000</f>
        <v>0</v>
      </c>
      <c r="AN52" s="672">
        <f>'Water Dec'!AN52/1000</f>
        <v>0</v>
      </c>
      <c r="AO52" s="672">
        <f>'Water Dec'!AO52/1000</f>
        <v>0</v>
      </c>
      <c r="AP52" s="672">
        <f>'Water Dec'!AP52/1000</f>
        <v>0</v>
      </c>
      <c r="AQ52" s="672">
        <f>'Water Dec'!AQ52/1000</f>
        <v>0</v>
      </c>
      <c r="AR52" s="672">
        <f>'Water Dec'!AR52/1000</f>
        <v>0</v>
      </c>
      <c r="AS52" s="672">
        <f>'Water Dec'!AS52/1000</f>
        <v>0</v>
      </c>
      <c r="AT52" s="672">
        <f>'Water Dec'!AT52/1000</f>
        <v>2385.5542599999999</v>
      </c>
      <c r="AU52" s="672">
        <f>'Water Dec'!AU52/1000</f>
        <v>1481.09573</v>
      </c>
      <c r="AV52" s="672">
        <f>'Water Dec'!AV52/1000</f>
        <v>0</v>
      </c>
      <c r="AW52" s="672">
        <f>'Water Dec'!AW52/1000</f>
        <v>3866.6499899999999</v>
      </c>
      <c r="AX52" s="672">
        <f>'Water Dec'!AX52/1000</f>
        <v>0</v>
      </c>
      <c r="AY52" s="672">
        <f>'Water Dec'!AY52/1000</f>
        <v>0</v>
      </c>
      <c r="AZ52" s="672">
        <f>'Water Dec'!AZ52/1000</f>
        <v>0</v>
      </c>
      <c r="BA52" s="672">
        <f>'Water Dec'!BA52/1000</f>
        <v>0</v>
      </c>
      <c r="BB52" s="672">
        <f>'Water Dec'!BB52/1000</f>
        <v>3866.6499899999999</v>
      </c>
      <c r="BC52" s="672" t="e">
        <f>'Water Dec'!BC52/1000</f>
        <v>#VALUE!</v>
      </c>
      <c r="BD52" s="672">
        <f>'Water Dec'!BD52/1000</f>
        <v>3866.6499899999999</v>
      </c>
      <c r="BE52" s="672">
        <f>'Water Dec'!BE52/1000</f>
        <v>33765.08713</v>
      </c>
      <c r="BF52" s="672">
        <f>'Water Dec'!BF52/1000</f>
        <v>29898.43852</v>
      </c>
      <c r="BG52" s="677">
        <f t="shared" si="26"/>
        <v>0.88548382549368532</v>
      </c>
      <c r="BH52" s="633">
        <f t="shared" si="75"/>
        <v>4.658616156626506E-3</v>
      </c>
      <c r="BI52" s="674">
        <f t="shared" si="76"/>
        <v>1.3928357804113685E-4</v>
      </c>
      <c r="BJ52" s="633">
        <f t="shared" si="124"/>
        <v>4.6586144457831328E-3</v>
      </c>
      <c r="BK52" s="675">
        <f t="shared" si="125"/>
        <v>1.392835268902417E-4</v>
      </c>
      <c r="BL52" s="676">
        <f>ROUND('Water Dec'!BL52,-3)</f>
        <v>830000</v>
      </c>
      <c r="BM52" s="685">
        <f>ROUND('Water Dec'!BM52,-3)</f>
        <v>0</v>
      </c>
      <c r="BN52" s="686">
        <f>ROUND('Water Dec'!BN52,-3)</f>
        <v>27761000</v>
      </c>
      <c r="BO52" s="636" t="s">
        <v>533</v>
      </c>
      <c r="BP52" s="637" t="s">
        <v>459</v>
      </c>
      <c r="BQ52" s="637" t="s">
        <v>460</v>
      </c>
      <c r="BR52" s="637" t="s">
        <v>479</v>
      </c>
      <c r="BS52" s="637" t="s">
        <v>511</v>
      </c>
      <c r="BT52" s="637" t="s">
        <v>509</v>
      </c>
      <c r="BU52" s="637" t="s">
        <v>464</v>
      </c>
      <c r="BV52" s="637" t="s">
        <v>463</v>
      </c>
      <c r="BW52" s="637" t="s">
        <v>466</v>
      </c>
      <c r="BX52" s="637" t="s">
        <v>467</v>
      </c>
      <c r="BY52" s="637" t="s">
        <v>522</v>
      </c>
      <c r="BZ52" s="637" t="s">
        <v>481</v>
      </c>
      <c r="CA52" s="637" t="s">
        <v>456</v>
      </c>
      <c r="CB52" s="638" t="s">
        <v>468</v>
      </c>
    </row>
    <row r="53" spans="1:80" ht="14.25" customHeight="1" x14ac:dyDescent="0.35">
      <c r="A53" s="700" t="s">
        <v>390</v>
      </c>
      <c r="B53" s="672">
        <f>'Water Dec'!B53/1000</f>
        <v>11.160600000000001</v>
      </c>
      <c r="C53" s="672">
        <f>'Water Dec'!C53/1000</f>
        <v>0</v>
      </c>
      <c r="D53" s="672">
        <f>'Water Dec'!D53/1000</f>
        <v>0</v>
      </c>
      <c r="E53" s="672">
        <f>'Water Dec'!E53/1000</f>
        <v>44.642400000000002</v>
      </c>
      <c r="F53" s="672">
        <f>'Water Dec'!F53/1000</f>
        <v>0</v>
      </c>
      <c r="G53" s="672">
        <f>'Water Dec'!G53/1000</f>
        <v>0</v>
      </c>
      <c r="H53" s="672">
        <f>'Water Dec'!H53/1000</f>
        <v>0</v>
      </c>
      <c r="I53" s="672">
        <f>'Water Dec'!I53/1000</f>
        <v>0</v>
      </c>
      <c r="J53" s="672">
        <f>'Water Dec'!J53/1000</f>
        <v>55.802999999999997</v>
      </c>
      <c r="K53" s="639" t="str">
        <f t="shared" si="15"/>
        <v>MATCH</v>
      </c>
      <c r="L53" s="672">
        <f>'Water Dec'!L53/1000</f>
        <v>55.802999999999997</v>
      </c>
      <c r="M53" s="672">
        <f>'Water Dec'!M53/1000</f>
        <v>0</v>
      </c>
      <c r="N53" s="672">
        <f>'Water Dec'!N53/1000</f>
        <v>36.283999999999999</v>
      </c>
      <c r="O53" s="672">
        <f>'Water Dec'!O53/1000</f>
        <v>0</v>
      </c>
      <c r="P53" s="672">
        <f>'Water Dec'!P53/1000</f>
        <v>0</v>
      </c>
      <c r="Q53" s="672">
        <f>'Water Dec'!Q53/1000</f>
        <v>0</v>
      </c>
      <c r="R53" s="672">
        <f>'Water Dec'!R53/1000</f>
        <v>0</v>
      </c>
      <c r="S53" s="672">
        <f>'Water Dec'!S53/1000</f>
        <v>0</v>
      </c>
      <c r="T53" s="672">
        <f>'Water Dec'!T53/1000</f>
        <v>0</v>
      </c>
      <c r="U53" s="672">
        <f>'Water Dec'!U53/1000</f>
        <v>36.283999999999999</v>
      </c>
      <c r="V53" s="624" t="str">
        <f t="shared" si="10"/>
        <v>MATCH</v>
      </c>
      <c r="W53" s="672">
        <f>'Water Dec'!W53/1000</f>
        <v>36.283999999999999</v>
      </c>
      <c r="X53" s="672">
        <f>'Water Dec'!X53/1000</f>
        <v>92.087000000000003</v>
      </c>
      <c r="Y53" s="672">
        <f>'Water Dec'!Y53/1000</f>
        <v>-11150.169</v>
      </c>
      <c r="Z53" s="672">
        <f>'Water Dec'!Z53/1000</f>
        <v>0</v>
      </c>
      <c r="AA53" s="672">
        <f>'Water Dec'!AA53/1000</f>
        <v>0</v>
      </c>
      <c r="AB53" s="672">
        <f>'Water Dec'!AB53/1000</f>
        <v>0</v>
      </c>
      <c r="AC53" s="672">
        <f>'Water Dec'!AC53/1000</f>
        <v>0</v>
      </c>
      <c r="AD53" s="672">
        <f>'Water Dec'!AD53/1000</f>
        <v>0</v>
      </c>
      <c r="AE53" s="672">
        <f>'Water Dec'!AE53/1000</f>
        <v>0</v>
      </c>
      <c r="AF53" s="672">
        <f>'Water Dec'!AF53/1000</f>
        <v>0</v>
      </c>
      <c r="AG53" s="672">
        <f>'Water Dec'!AG53/1000</f>
        <v>0</v>
      </c>
      <c r="AH53" s="672">
        <f>'Water Dec'!AH53/1000</f>
        <v>0</v>
      </c>
      <c r="AI53" s="672" t="e">
        <f>'Water Dec'!AI53/1000</f>
        <v>#VALUE!</v>
      </c>
      <c r="AJ53" s="672">
        <f>'Water Dec'!AJ53/1000</f>
        <v>0</v>
      </c>
      <c r="AK53" s="672">
        <f>'Water Dec'!AK53/1000</f>
        <v>0</v>
      </c>
      <c r="AL53" s="672">
        <f>'Water Dec'!AL53/1000</f>
        <v>0</v>
      </c>
      <c r="AM53" s="672">
        <f>'Water Dec'!AM53/1000</f>
        <v>0</v>
      </c>
      <c r="AN53" s="672">
        <f>'Water Dec'!AN53/1000</f>
        <v>0</v>
      </c>
      <c r="AO53" s="672">
        <f>'Water Dec'!AO53/1000</f>
        <v>0</v>
      </c>
      <c r="AP53" s="672">
        <f>'Water Dec'!AP53/1000</f>
        <v>0</v>
      </c>
      <c r="AQ53" s="672">
        <f>'Water Dec'!AQ53/1000</f>
        <v>0</v>
      </c>
      <c r="AR53" s="672">
        <f>'Water Dec'!AR53/1000</f>
        <v>0</v>
      </c>
      <c r="AS53" s="672">
        <f>'Water Dec'!AS53/1000</f>
        <v>0</v>
      </c>
      <c r="AT53" s="672">
        <f>'Water Dec'!AT53/1000</f>
        <v>0</v>
      </c>
      <c r="AU53" s="672">
        <f>'Water Dec'!AU53/1000</f>
        <v>0</v>
      </c>
      <c r="AV53" s="672">
        <f>'Water Dec'!AV53/1000</f>
        <v>1.825</v>
      </c>
      <c r="AW53" s="672">
        <f>'Water Dec'!AW53/1000</f>
        <v>1.825</v>
      </c>
      <c r="AX53" s="672">
        <f>'Water Dec'!AX53/1000</f>
        <v>1.929</v>
      </c>
      <c r="AY53" s="672">
        <f>'Water Dec'!AY53/1000</f>
        <v>11238.662</v>
      </c>
      <c r="AZ53" s="672">
        <f>'Water Dec'!AZ53/1000</f>
        <v>0</v>
      </c>
      <c r="BA53" s="672">
        <f>'Water Dec'!BA53/1000</f>
        <v>11240.591</v>
      </c>
      <c r="BB53" s="672">
        <f>'Water Dec'!BB53/1000</f>
        <v>11242.415999999999</v>
      </c>
      <c r="BC53" s="672" t="e">
        <f>'Water Dec'!BC53/1000</f>
        <v>#VALUE!</v>
      </c>
      <c r="BD53" s="672">
        <f>'Water Dec'!BD53/1000</f>
        <v>11242.415999999999</v>
      </c>
      <c r="BE53" s="672">
        <f>'Water Dec'!BE53/1000</f>
        <v>1699.3620000000001</v>
      </c>
      <c r="BF53" s="672">
        <f>'Water Dec'!BF53/1000</f>
        <v>1674.287</v>
      </c>
      <c r="BG53" s="677">
        <f t="shared" si="26"/>
        <v>0.98524446233351104</v>
      </c>
      <c r="BH53" s="633">
        <f t="shared" si="75"/>
        <v>1.5347833333333333E-2</v>
      </c>
      <c r="BI53" s="674" t="s">
        <v>505</v>
      </c>
      <c r="BJ53" s="633">
        <f t="shared" si="124"/>
        <v>1.8737359999999998</v>
      </c>
      <c r="BK53" s="674" t="s">
        <v>505</v>
      </c>
      <c r="BL53" s="676">
        <f>ROUND('Water Dec'!BL53,-3)</f>
        <v>6000</v>
      </c>
      <c r="BM53" s="685">
        <f>ROUND('Water Dec'!BM53,-3)</f>
        <v>0</v>
      </c>
      <c r="BN53" s="686">
        <f>ROUND('Water Dec'!BN53,-3)</f>
        <v>0</v>
      </c>
      <c r="BO53" s="636" t="s">
        <v>536</v>
      </c>
      <c r="BP53" s="637" t="s">
        <v>459</v>
      </c>
      <c r="BQ53" s="637" t="s">
        <v>499</v>
      </c>
      <c r="BR53" s="637" t="s">
        <v>474</v>
      </c>
      <c r="BS53" s="637"/>
      <c r="BT53" s="637" t="s">
        <v>509</v>
      </c>
      <c r="BU53" s="637" t="s">
        <v>464</v>
      </c>
      <c r="BV53" s="637" t="s">
        <v>463</v>
      </c>
      <c r="BW53" s="637" t="s">
        <v>467</v>
      </c>
      <c r="BX53" s="637" t="s">
        <v>466</v>
      </c>
      <c r="BY53" s="637" t="s">
        <v>522</v>
      </c>
      <c r="BZ53" s="637" t="s">
        <v>481</v>
      </c>
      <c r="CA53" s="637" t="s">
        <v>456</v>
      </c>
      <c r="CB53" s="638" t="s">
        <v>468</v>
      </c>
    </row>
    <row r="54" spans="1:80" ht="14.25" customHeight="1" x14ac:dyDescent="0.35">
      <c r="A54" s="700" t="s">
        <v>391</v>
      </c>
      <c r="B54" s="672">
        <f>'Water Dec'!B54/1000</f>
        <v>0</v>
      </c>
      <c r="C54" s="672">
        <f>'Water Dec'!C54/1000</f>
        <v>0</v>
      </c>
      <c r="D54" s="672">
        <f>'Water Dec'!D54/1000</f>
        <v>0</v>
      </c>
      <c r="E54" s="672">
        <f>'Water Dec'!E54/1000</f>
        <v>537.66700000000003</v>
      </c>
      <c r="F54" s="672">
        <f>'Water Dec'!F54/1000</f>
        <v>0</v>
      </c>
      <c r="G54" s="672">
        <f>'Water Dec'!G54/1000</f>
        <v>0</v>
      </c>
      <c r="H54" s="672">
        <f>'Water Dec'!H54/1000</f>
        <v>0</v>
      </c>
      <c r="I54" s="672">
        <f>'Water Dec'!I54/1000</f>
        <v>0</v>
      </c>
      <c r="J54" s="672">
        <f>'Water Dec'!J54/1000</f>
        <v>537.66700000000003</v>
      </c>
      <c r="K54" s="639" t="str">
        <f t="shared" si="15"/>
        <v>MATCH</v>
      </c>
      <c r="L54" s="672">
        <f>'Water Dec'!L54/1000</f>
        <v>537.66700000000003</v>
      </c>
      <c r="M54" s="672">
        <f>'Water Dec'!M54/1000</f>
        <v>0</v>
      </c>
      <c r="N54" s="672">
        <f>'Water Dec'!N54/1000</f>
        <v>0</v>
      </c>
      <c r="O54" s="672">
        <f>'Water Dec'!O54/1000</f>
        <v>0</v>
      </c>
      <c r="P54" s="672">
        <f>'Water Dec'!P54/1000</f>
        <v>0</v>
      </c>
      <c r="Q54" s="672">
        <f>'Water Dec'!Q54/1000</f>
        <v>0</v>
      </c>
      <c r="R54" s="672">
        <f>'Water Dec'!R54/1000</f>
        <v>0</v>
      </c>
      <c r="S54" s="672">
        <f>'Water Dec'!S54/1000</f>
        <v>0</v>
      </c>
      <c r="T54" s="672">
        <f>'Water Dec'!T54/1000</f>
        <v>0</v>
      </c>
      <c r="U54" s="672">
        <f>'Water Dec'!U54/1000</f>
        <v>0</v>
      </c>
      <c r="V54" s="624" t="str">
        <f t="shared" si="10"/>
        <v>MATCH</v>
      </c>
      <c r="W54" s="672">
        <f>'Water Dec'!W54/1000</f>
        <v>0</v>
      </c>
      <c r="X54" s="672">
        <f>'Water Dec'!X54/1000</f>
        <v>537.66700000000003</v>
      </c>
      <c r="Y54" s="672">
        <f>'Water Dec'!Y54/1000</f>
        <v>0</v>
      </c>
      <c r="Z54" s="672">
        <f>'Water Dec'!Z54/1000</f>
        <v>0</v>
      </c>
      <c r="AA54" s="672">
        <f>'Water Dec'!AA54/1000</f>
        <v>0</v>
      </c>
      <c r="AB54" s="672">
        <f>'Water Dec'!AB54/1000</f>
        <v>0</v>
      </c>
      <c r="AC54" s="672">
        <f>'Water Dec'!AC54/1000</f>
        <v>0</v>
      </c>
      <c r="AD54" s="672">
        <f>'Water Dec'!AD54/1000</f>
        <v>0</v>
      </c>
      <c r="AE54" s="672">
        <f>'Water Dec'!AE54/1000</f>
        <v>0</v>
      </c>
      <c r="AF54" s="672">
        <f>'Water Dec'!AF54/1000</f>
        <v>0</v>
      </c>
      <c r="AG54" s="672">
        <f>'Water Dec'!AG54/1000</f>
        <v>0</v>
      </c>
      <c r="AH54" s="672">
        <f>'Water Dec'!AH54/1000</f>
        <v>0</v>
      </c>
      <c r="AI54" s="672" t="e">
        <f>'Water Dec'!AI54/1000</f>
        <v>#VALUE!</v>
      </c>
      <c r="AJ54" s="672">
        <f>'Water Dec'!AJ54/1000</f>
        <v>0</v>
      </c>
      <c r="AK54" s="672">
        <f>'Water Dec'!AK54/1000</f>
        <v>0</v>
      </c>
      <c r="AL54" s="672">
        <f>'Water Dec'!AL54/1000</f>
        <v>0</v>
      </c>
      <c r="AM54" s="672">
        <f>'Water Dec'!AM54/1000</f>
        <v>0</v>
      </c>
      <c r="AN54" s="672">
        <f>'Water Dec'!AN54/1000</f>
        <v>0</v>
      </c>
      <c r="AO54" s="672">
        <f>'Water Dec'!AO54/1000</f>
        <v>0</v>
      </c>
      <c r="AP54" s="672">
        <f>'Water Dec'!AP54/1000</f>
        <v>0</v>
      </c>
      <c r="AQ54" s="672">
        <f>'Water Dec'!AQ54/1000</f>
        <v>0</v>
      </c>
      <c r="AR54" s="672">
        <f>'Water Dec'!AR54/1000</f>
        <v>0</v>
      </c>
      <c r="AS54" s="672">
        <f>'Water Dec'!AS54/1000</f>
        <v>0</v>
      </c>
      <c r="AT54" s="672">
        <f>'Water Dec'!AT54/1000</f>
        <v>599.58051</v>
      </c>
      <c r="AU54" s="672">
        <f>'Water Dec'!AU54/1000</f>
        <v>-61.913419999999995</v>
      </c>
      <c r="AV54" s="672">
        <f>'Water Dec'!AV54/1000</f>
        <v>0</v>
      </c>
      <c r="AW54" s="672">
        <f>'Water Dec'!AW54/1000</f>
        <v>537.66708999999992</v>
      </c>
      <c r="AX54" s="672">
        <f>'Water Dec'!AX54/1000</f>
        <v>0</v>
      </c>
      <c r="AY54" s="672">
        <f>'Water Dec'!AY54/1000</f>
        <v>0</v>
      </c>
      <c r="AZ54" s="672">
        <f>'Water Dec'!AZ54/1000</f>
        <v>0</v>
      </c>
      <c r="BA54" s="672">
        <f>'Water Dec'!BA54/1000</f>
        <v>0</v>
      </c>
      <c r="BB54" s="672">
        <f>'Water Dec'!BB54/1000</f>
        <v>537.66708999999992</v>
      </c>
      <c r="BC54" s="672" t="e">
        <f>'Water Dec'!BC54/1000</f>
        <v>#VALUE!</v>
      </c>
      <c r="BD54" s="672">
        <f>'Water Dec'!BD54/1000</f>
        <v>537.66708999999992</v>
      </c>
      <c r="BE54" s="672">
        <f>'Water Dec'!BE54/1000</f>
        <v>11424.972220000001</v>
      </c>
      <c r="BF54" s="672">
        <f>'Water Dec'!BF54/1000</f>
        <v>9861.7827300000008</v>
      </c>
      <c r="BG54" s="677">
        <f t="shared" si="26"/>
        <v>0.86317783011642191</v>
      </c>
      <c r="BH54" s="633">
        <f t="shared" si="75"/>
        <v>2.0600268199233718E-3</v>
      </c>
      <c r="BI54" s="674">
        <f t="shared" si="76"/>
        <v>1.1783190883190884E-4</v>
      </c>
      <c r="BJ54" s="633">
        <f t="shared" si="124"/>
        <v>2.0600271647509575E-3</v>
      </c>
      <c r="BK54" s="675">
        <f t="shared" ref="BK54:BK55" si="126">BD54/BN54</f>
        <v>1.1783192855577469E-4</v>
      </c>
      <c r="BL54" s="676">
        <f>ROUND('Water Dec'!BL54,-3)</f>
        <v>261000</v>
      </c>
      <c r="BM54" s="685">
        <f>ROUND('Water Dec'!BM54,-3)</f>
        <v>0</v>
      </c>
      <c r="BN54" s="686">
        <f>ROUND('Water Dec'!BN54,-3)</f>
        <v>4563000</v>
      </c>
      <c r="BO54" s="636" t="s">
        <v>536</v>
      </c>
      <c r="BP54" s="637" t="s">
        <v>459</v>
      </c>
      <c r="BQ54" s="637" t="s">
        <v>499</v>
      </c>
      <c r="BR54" s="637" t="s">
        <v>474</v>
      </c>
      <c r="BS54" s="637"/>
      <c r="BT54" s="637" t="s">
        <v>509</v>
      </c>
      <c r="BU54" s="637" t="s">
        <v>464</v>
      </c>
      <c r="BV54" s="637" t="s">
        <v>463</v>
      </c>
      <c r="BW54" s="637" t="s">
        <v>467</v>
      </c>
      <c r="BX54" s="637" t="s">
        <v>466</v>
      </c>
      <c r="BY54" s="637" t="s">
        <v>522</v>
      </c>
      <c r="BZ54" s="637" t="s">
        <v>481</v>
      </c>
      <c r="CA54" s="637" t="s">
        <v>456</v>
      </c>
      <c r="CB54" s="638" t="s">
        <v>468</v>
      </c>
    </row>
    <row r="55" spans="1:80" ht="14.25" customHeight="1" x14ac:dyDescent="0.35">
      <c r="A55" s="700" t="s">
        <v>392</v>
      </c>
      <c r="B55" s="672">
        <f>'Water Dec'!B55/1000</f>
        <v>188.893</v>
      </c>
      <c r="C55" s="672">
        <f>'Water Dec'!C55/1000</f>
        <v>0</v>
      </c>
      <c r="D55" s="672">
        <f>'Water Dec'!D55/1000</f>
        <v>0</v>
      </c>
      <c r="E55" s="672">
        <f>'Water Dec'!E55/1000</f>
        <v>4301.4170000000004</v>
      </c>
      <c r="F55" s="672">
        <f>'Water Dec'!F55/1000</f>
        <v>0</v>
      </c>
      <c r="G55" s="672">
        <f>'Water Dec'!G55/1000</f>
        <v>0</v>
      </c>
      <c r="H55" s="672">
        <f>'Water Dec'!H55/1000</f>
        <v>0</v>
      </c>
      <c r="I55" s="672">
        <f>'Water Dec'!I55/1000</f>
        <v>0</v>
      </c>
      <c r="J55" s="672">
        <f>'Water Dec'!J55/1000</f>
        <v>4490.3100000000004</v>
      </c>
      <c r="K55" s="639" t="str">
        <f t="shared" si="15"/>
        <v>MATCH</v>
      </c>
      <c r="L55" s="672">
        <f>'Water Dec'!L55/1000</f>
        <v>4490.3100000000004</v>
      </c>
      <c r="M55" s="672">
        <f>'Water Dec'!M55/1000</f>
        <v>0</v>
      </c>
      <c r="N55" s="672">
        <f>'Water Dec'!N55/1000</f>
        <v>0</v>
      </c>
      <c r="O55" s="672">
        <f>'Water Dec'!O55/1000</f>
        <v>1982.9369999999999</v>
      </c>
      <c r="P55" s="672">
        <f>'Water Dec'!P55/1000</f>
        <v>0</v>
      </c>
      <c r="Q55" s="672">
        <f>'Water Dec'!Q55/1000</f>
        <v>0</v>
      </c>
      <c r="R55" s="672">
        <f>'Water Dec'!R55/1000</f>
        <v>0</v>
      </c>
      <c r="S55" s="672">
        <f>'Water Dec'!S55/1000</f>
        <v>0</v>
      </c>
      <c r="T55" s="672">
        <f>'Water Dec'!T55/1000</f>
        <v>0</v>
      </c>
      <c r="U55" s="672">
        <f>'Water Dec'!U55/1000</f>
        <v>1982.9369999999999</v>
      </c>
      <c r="V55" s="624" t="str">
        <f t="shared" si="10"/>
        <v>MATCH</v>
      </c>
      <c r="W55" s="672">
        <f>'Water Dec'!W55/1000</f>
        <v>1982.9369999999999</v>
      </c>
      <c r="X55" s="672">
        <f>'Water Dec'!X55/1000</f>
        <v>6473.2470000000003</v>
      </c>
      <c r="Y55" s="672">
        <f>'Water Dec'!Y55/1000</f>
        <v>-1434.027</v>
      </c>
      <c r="Z55" s="672">
        <f>'Water Dec'!Z55/1000</f>
        <v>0</v>
      </c>
      <c r="AA55" s="672">
        <f>'Water Dec'!AA55/1000</f>
        <v>0</v>
      </c>
      <c r="AB55" s="672">
        <f>'Water Dec'!AB55/1000</f>
        <v>0</v>
      </c>
      <c r="AC55" s="672">
        <f>'Water Dec'!AC55/1000</f>
        <v>0</v>
      </c>
      <c r="AD55" s="672">
        <f>'Water Dec'!AD55/1000</f>
        <v>0</v>
      </c>
      <c r="AE55" s="672">
        <f>'Water Dec'!AE55/1000</f>
        <v>0</v>
      </c>
      <c r="AF55" s="672">
        <f>'Water Dec'!AF55/1000</f>
        <v>0</v>
      </c>
      <c r="AG55" s="672">
        <f>'Water Dec'!AG55/1000</f>
        <v>0</v>
      </c>
      <c r="AH55" s="672">
        <f>'Water Dec'!AH55/1000</f>
        <v>0</v>
      </c>
      <c r="AI55" s="672" t="e">
        <f>'Water Dec'!AI55/1000</f>
        <v>#VALUE!</v>
      </c>
      <c r="AJ55" s="672">
        <f>'Water Dec'!AJ55/1000</f>
        <v>0</v>
      </c>
      <c r="AK55" s="672">
        <f>'Water Dec'!AK55/1000</f>
        <v>0</v>
      </c>
      <c r="AL55" s="672">
        <f>'Water Dec'!AL55/1000</f>
        <v>0</v>
      </c>
      <c r="AM55" s="672">
        <f>'Water Dec'!AM55/1000</f>
        <v>0</v>
      </c>
      <c r="AN55" s="672">
        <f>'Water Dec'!AN55/1000</f>
        <v>0</v>
      </c>
      <c r="AO55" s="672">
        <f>'Water Dec'!AO55/1000</f>
        <v>0</v>
      </c>
      <c r="AP55" s="672">
        <f>'Water Dec'!AP55/1000</f>
        <v>0</v>
      </c>
      <c r="AQ55" s="672">
        <f>'Water Dec'!AQ55/1000</f>
        <v>0</v>
      </c>
      <c r="AR55" s="672">
        <f>'Water Dec'!AR55/1000</f>
        <v>0</v>
      </c>
      <c r="AS55" s="672">
        <f>'Water Dec'!AS55/1000</f>
        <v>0</v>
      </c>
      <c r="AT55" s="672">
        <f>'Water Dec'!AT55/1000</f>
        <v>0</v>
      </c>
      <c r="AU55" s="672">
        <f>'Water Dec'!AU55/1000</f>
        <v>0</v>
      </c>
      <c r="AV55" s="672">
        <f>'Water Dec'!AV55/1000</f>
        <v>594.91300000000001</v>
      </c>
      <c r="AW55" s="672">
        <f>'Water Dec'!AW55/1000</f>
        <v>594.91300000000001</v>
      </c>
      <c r="AX55" s="672">
        <f>'Water Dec'!AX55/1000</f>
        <v>2202.4323999999997</v>
      </c>
      <c r="AY55" s="672">
        <f>'Water Dec'!AY55/1000</f>
        <v>5109.93</v>
      </c>
      <c r="AZ55" s="672">
        <f>'Water Dec'!AZ55/1000</f>
        <v>0</v>
      </c>
      <c r="BA55" s="672">
        <f>'Water Dec'!BA55/1000</f>
        <v>7312.3624</v>
      </c>
      <c r="BB55" s="672">
        <f>'Water Dec'!BB55/1000</f>
        <v>7907.2754000000004</v>
      </c>
      <c r="BC55" s="672" t="e">
        <f>'Water Dec'!BC55/1000</f>
        <v>#VALUE!</v>
      </c>
      <c r="BD55" s="672">
        <f>'Water Dec'!BD55/1000</f>
        <v>7907.2754000000004</v>
      </c>
      <c r="BE55" s="672">
        <f>'Water Dec'!BE55/1000</f>
        <v>50064.692999999999</v>
      </c>
      <c r="BF55" s="672">
        <f>'Water Dec'!BF55/1000</f>
        <v>45336.31</v>
      </c>
      <c r="BG55" s="677">
        <f t="shared" si="26"/>
        <v>0.90555453920390561</v>
      </c>
      <c r="BH55" s="633">
        <f t="shared" si="75"/>
        <v>3.7417612716763006E-2</v>
      </c>
      <c r="BI55" s="674">
        <f t="shared" si="76"/>
        <v>3.9742430009823186E-4</v>
      </c>
      <c r="BJ55" s="633">
        <f t="shared" si="124"/>
        <v>4.570679421965318E-2</v>
      </c>
      <c r="BK55" s="675">
        <f t="shared" si="126"/>
        <v>4.8546631876227899E-4</v>
      </c>
      <c r="BL55" s="676">
        <f>ROUND('Water Dec'!BL55,-3)</f>
        <v>173000</v>
      </c>
      <c r="BM55" s="685">
        <f>ROUND('Water Dec'!BM55,-3)</f>
        <v>37888000</v>
      </c>
      <c r="BN55" s="686">
        <f>ROUND('Water Dec'!BN55,-3)</f>
        <v>16288000</v>
      </c>
      <c r="BO55" s="636" t="s">
        <v>539</v>
      </c>
      <c r="BP55" s="637" t="s">
        <v>459</v>
      </c>
      <c r="BQ55" s="637" t="s">
        <v>460</v>
      </c>
      <c r="BR55" s="637" t="s">
        <v>479</v>
      </c>
      <c r="BS55" s="637" t="s">
        <v>480</v>
      </c>
      <c r="BT55" s="637" t="s">
        <v>509</v>
      </c>
      <c r="BU55" s="637" t="s">
        <v>464</v>
      </c>
      <c r="BV55" s="637" t="s">
        <v>463</v>
      </c>
      <c r="BW55" s="637" t="s">
        <v>467</v>
      </c>
      <c r="BX55" s="637" t="s">
        <v>466</v>
      </c>
      <c r="BY55" s="637" t="s">
        <v>522</v>
      </c>
      <c r="BZ55" s="637" t="s">
        <v>481</v>
      </c>
      <c r="CA55" s="637" t="s">
        <v>456</v>
      </c>
      <c r="CB55" s="638" t="s">
        <v>468</v>
      </c>
    </row>
    <row r="56" spans="1:80" ht="14.25" customHeight="1" x14ac:dyDescent="0.35">
      <c r="A56" s="700" t="s">
        <v>540</v>
      </c>
      <c r="B56" s="672">
        <f>'Water Dec'!B56/1000</f>
        <v>0</v>
      </c>
      <c r="C56" s="672">
        <f>'Water Dec'!C56/1000</f>
        <v>0</v>
      </c>
      <c r="D56" s="672">
        <f>'Water Dec'!D56/1000</f>
        <v>0</v>
      </c>
      <c r="E56" s="672">
        <f>'Water Dec'!E56/1000</f>
        <v>8396.3680000000004</v>
      </c>
      <c r="F56" s="672">
        <f>'Water Dec'!F56/1000</f>
        <v>82.673000000000002</v>
      </c>
      <c r="G56" s="672">
        <f>'Water Dec'!G56/1000</f>
        <v>0</v>
      </c>
      <c r="H56" s="672">
        <f>'Water Dec'!H56/1000</f>
        <v>0</v>
      </c>
      <c r="I56" s="672">
        <f>'Water Dec'!I56/1000</f>
        <v>0</v>
      </c>
      <c r="J56" s="672">
        <f>'Water Dec'!J56/1000</f>
        <v>8479.0409999999993</v>
      </c>
      <c r="K56" s="639" t="str">
        <f t="shared" si="15"/>
        <v>MATCH</v>
      </c>
      <c r="L56" s="672">
        <f>'Water Dec'!L56/1000</f>
        <v>8479.0409999999993</v>
      </c>
      <c r="M56" s="672">
        <f>'Water Dec'!M56/1000</f>
        <v>0</v>
      </c>
      <c r="N56" s="672">
        <f>'Water Dec'!N56/1000</f>
        <v>0</v>
      </c>
      <c r="O56" s="672">
        <f>'Water Dec'!O56/1000</f>
        <v>544.85400000000004</v>
      </c>
      <c r="P56" s="672">
        <f>'Water Dec'!P56/1000</f>
        <v>0</v>
      </c>
      <c r="Q56" s="672">
        <f>'Water Dec'!Q56/1000</f>
        <v>0</v>
      </c>
      <c r="R56" s="672">
        <f>'Water Dec'!R56/1000</f>
        <v>0</v>
      </c>
      <c r="S56" s="672">
        <f>'Water Dec'!S56/1000</f>
        <v>0</v>
      </c>
      <c r="T56" s="672">
        <f>'Water Dec'!T56/1000</f>
        <v>0</v>
      </c>
      <c r="U56" s="672">
        <f>'Water Dec'!U56/1000</f>
        <v>544.85400000000004</v>
      </c>
      <c r="V56" s="624" t="str">
        <f t="shared" si="10"/>
        <v>MATCH</v>
      </c>
      <c r="W56" s="672">
        <f>'Water Dec'!W56/1000</f>
        <v>544.85400000000004</v>
      </c>
      <c r="X56" s="672">
        <f>'Water Dec'!X56/1000</f>
        <v>9023.8950000000004</v>
      </c>
      <c r="Y56" s="672">
        <f>'Water Dec'!Y56/1000</f>
        <v>1929.373</v>
      </c>
      <c r="Z56" s="672">
        <f>'Water Dec'!Z56/1000</f>
        <v>7132.0640000000003</v>
      </c>
      <c r="AA56" s="672">
        <f>'Water Dec'!AA56/1000</f>
        <v>0</v>
      </c>
      <c r="AB56" s="672">
        <f>'Water Dec'!AB56/1000</f>
        <v>0</v>
      </c>
      <c r="AC56" s="672">
        <f>'Water Dec'!AC56/1000</f>
        <v>0</v>
      </c>
      <c r="AD56" s="672">
        <f>'Water Dec'!AD56/1000</f>
        <v>0</v>
      </c>
      <c r="AE56" s="672">
        <f>'Water Dec'!AE56/1000</f>
        <v>0</v>
      </c>
      <c r="AF56" s="672">
        <f>'Water Dec'!AF56/1000</f>
        <v>0</v>
      </c>
      <c r="AG56" s="672">
        <f>'Water Dec'!AG56/1000</f>
        <v>0</v>
      </c>
      <c r="AH56" s="672">
        <f>'Water Dec'!AH56/1000</f>
        <v>0</v>
      </c>
      <c r="AI56" s="672" t="e">
        <f>'Water Dec'!AI56/1000</f>
        <v>#VALUE!</v>
      </c>
      <c r="AJ56" s="672">
        <f>'Water Dec'!AJ56/1000</f>
        <v>0</v>
      </c>
      <c r="AK56" s="672">
        <f>'Water Dec'!AK56/1000</f>
        <v>0</v>
      </c>
      <c r="AL56" s="672">
        <f>'Water Dec'!AL56/1000</f>
        <v>0</v>
      </c>
      <c r="AM56" s="672">
        <f>'Water Dec'!AM56/1000</f>
        <v>0</v>
      </c>
      <c r="AN56" s="672">
        <f>'Water Dec'!AN56/1000</f>
        <v>0</v>
      </c>
      <c r="AO56" s="672">
        <f>'Water Dec'!AO56/1000</f>
        <v>0</v>
      </c>
      <c r="AP56" s="672">
        <f>'Water Dec'!AP56/1000</f>
        <v>0</v>
      </c>
      <c r="AQ56" s="672">
        <f>'Water Dec'!AQ56/1000</f>
        <v>0</v>
      </c>
      <c r="AR56" s="672">
        <f>'Water Dec'!AR56/1000</f>
        <v>0</v>
      </c>
      <c r="AS56" s="672">
        <f>'Water Dec'!AS56/1000</f>
        <v>0</v>
      </c>
      <c r="AT56" s="672">
        <f>'Water Dec'!AT56/1000</f>
        <v>0</v>
      </c>
      <c r="AU56" s="672">
        <f>'Water Dec'!AU56/1000</f>
        <v>0</v>
      </c>
      <c r="AV56" s="672">
        <f>'Water Dec'!AV56/1000</f>
        <v>0</v>
      </c>
      <c r="AW56" s="672">
        <f>'Water Dec'!AW56/1000</f>
        <v>0</v>
      </c>
      <c r="AX56" s="672">
        <f>'Water Dec'!AX56/1000</f>
        <v>4647.9603200000001</v>
      </c>
      <c r="AY56" s="672">
        <f>'Water Dec'!AY56/1000</f>
        <v>1838.7239999999999</v>
      </c>
      <c r="AZ56" s="672">
        <f>'Water Dec'!AZ56/1000</f>
        <v>948.66399999999999</v>
      </c>
      <c r="BA56" s="672">
        <f>'Water Dec'!BA56/1000</f>
        <v>7435.3483200000001</v>
      </c>
      <c r="BB56" s="672">
        <f>'Water Dec'!BB56/1000</f>
        <v>7435.3483200000001</v>
      </c>
      <c r="BC56" s="672" t="e">
        <f>'Water Dec'!BC56/1000</f>
        <v>#VALUE!</v>
      </c>
      <c r="BD56" s="672">
        <f>'Water Dec'!BD56/1000</f>
        <v>7435.3483200000001</v>
      </c>
      <c r="BE56" s="672">
        <f>'Water Dec'!BE56/1000</f>
        <v>59280.368000000002</v>
      </c>
      <c r="BF56" s="672">
        <f>'Water Dec'!BF56/1000</f>
        <v>49893.444000000003</v>
      </c>
      <c r="BG56" s="677">
        <f t="shared" si="26"/>
        <v>0.84165206261877457</v>
      </c>
      <c r="BH56" s="633">
        <f t="shared" si="75"/>
        <v>1.6618591160220995E-2</v>
      </c>
      <c r="BI56" s="674" t="s">
        <v>505</v>
      </c>
      <c r="BJ56" s="633">
        <f t="shared" si="124"/>
        <v>1.3693090828729281E-2</v>
      </c>
      <c r="BK56" s="674" t="s">
        <v>505</v>
      </c>
      <c r="BL56" s="676">
        <f>ROUND('Water Dec'!BL56,-3)</f>
        <v>543000</v>
      </c>
      <c r="BM56" s="685">
        <f>ROUND('Water Dec'!BM56,-3)</f>
        <v>0</v>
      </c>
      <c r="BN56" s="686">
        <f>ROUND('Water Dec'!BN56,-3)</f>
        <v>6168000</v>
      </c>
      <c r="BO56" s="636" t="s">
        <v>533</v>
      </c>
      <c r="BP56" s="637" t="s">
        <v>459</v>
      </c>
      <c r="BQ56" s="637" t="s">
        <v>460</v>
      </c>
      <c r="BR56" s="637" t="s">
        <v>479</v>
      </c>
      <c r="BS56" s="637" t="s">
        <v>480</v>
      </c>
      <c r="BT56" s="637" t="s">
        <v>509</v>
      </c>
      <c r="BU56" s="637" t="s">
        <v>464</v>
      </c>
      <c r="BV56" s="637" t="s">
        <v>463</v>
      </c>
      <c r="BW56" s="637" t="s">
        <v>467</v>
      </c>
      <c r="BX56" s="637" t="s">
        <v>466</v>
      </c>
      <c r="BY56" s="637" t="s">
        <v>522</v>
      </c>
      <c r="BZ56" s="637" t="s">
        <v>481</v>
      </c>
      <c r="CA56" s="637" t="s">
        <v>456</v>
      </c>
      <c r="CB56" s="638" t="s">
        <v>468</v>
      </c>
    </row>
    <row r="57" spans="1:80" ht="14.25" customHeight="1" x14ac:dyDescent="0.35">
      <c r="A57" s="700" t="s">
        <v>395</v>
      </c>
      <c r="B57" s="672">
        <f>'Water Dec'!B57/1000</f>
        <v>0</v>
      </c>
      <c r="C57" s="672">
        <f>'Water Dec'!C57/1000</f>
        <v>0</v>
      </c>
      <c r="D57" s="672">
        <f>'Water Dec'!D57/1000</f>
        <v>0</v>
      </c>
      <c r="E57" s="672">
        <f>'Water Dec'!E57/1000</f>
        <v>0</v>
      </c>
      <c r="F57" s="672">
        <f>'Water Dec'!F57/1000</f>
        <v>0</v>
      </c>
      <c r="G57" s="672">
        <f>'Water Dec'!G57/1000</f>
        <v>0</v>
      </c>
      <c r="H57" s="672">
        <f>'Water Dec'!H57/1000</f>
        <v>0</v>
      </c>
      <c r="I57" s="672">
        <f>'Water Dec'!I57/1000</f>
        <v>0</v>
      </c>
      <c r="J57" s="672">
        <f>'Water Dec'!J57/1000</f>
        <v>0</v>
      </c>
      <c r="K57" s="639" t="str">
        <f t="shared" si="15"/>
        <v>MATCH</v>
      </c>
      <c r="L57" s="672">
        <f>'Water Dec'!L57/1000</f>
        <v>0</v>
      </c>
      <c r="M57" s="672">
        <f>'Water Dec'!M57/1000</f>
        <v>0</v>
      </c>
      <c r="N57" s="672">
        <f>'Water Dec'!N57/1000</f>
        <v>0</v>
      </c>
      <c r="O57" s="672">
        <f>'Water Dec'!O57/1000</f>
        <v>0</v>
      </c>
      <c r="P57" s="672">
        <f>'Water Dec'!P57/1000</f>
        <v>0</v>
      </c>
      <c r="Q57" s="672">
        <f>'Water Dec'!Q57/1000</f>
        <v>0</v>
      </c>
      <c r="R57" s="672">
        <f>'Water Dec'!R57/1000</f>
        <v>0</v>
      </c>
      <c r="S57" s="672">
        <f>'Water Dec'!S57/1000</f>
        <v>0</v>
      </c>
      <c r="T57" s="672">
        <f>'Water Dec'!T57/1000</f>
        <v>0</v>
      </c>
      <c r="U57" s="672">
        <f>'Water Dec'!U57/1000</f>
        <v>0</v>
      </c>
      <c r="V57" s="624" t="str">
        <f t="shared" si="10"/>
        <v>MATCH</v>
      </c>
      <c r="W57" s="672">
        <f>'Water Dec'!W57/1000</f>
        <v>0</v>
      </c>
      <c r="X57" s="672">
        <f>'Water Dec'!X57/1000</f>
        <v>0</v>
      </c>
      <c r="Y57" s="672">
        <f>'Water Dec'!Y57/1000</f>
        <v>0</v>
      </c>
      <c r="Z57" s="672">
        <f>'Water Dec'!Z57/1000</f>
        <v>0</v>
      </c>
      <c r="AA57" s="672">
        <f>'Water Dec'!AA57/1000</f>
        <v>0</v>
      </c>
      <c r="AB57" s="672">
        <f>'Water Dec'!AB57/1000</f>
        <v>0</v>
      </c>
      <c r="AC57" s="672">
        <f>'Water Dec'!AC57/1000</f>
        <v>0</v>
      </c>
      <c r="AD57" s="672">
        <f>'Water Dec'!AD57/1000</f>
        <v>0</v>
      </c>
      <c r="AE57" s="672">
        <f>'Water Dec'!AE57/1000</f>
        <v>0</v>
      </c>
      <c r="AF57" s="672">
        <f>'Water Dec'!AF57/1000</f>
        <v>0</v>
      </c>
      <c r="AG57" s="672">
        <f>'Water Dec'!AG57/1000</f>
        <v>0</v>
      </c>
      <c r="AH57" s="672">
        <f>'Water Dec'!AH57/1000</f>
        <v>0</v>
      </c>
      <c r="AI57" s="672" t="e">
        <f>'Water Dec'!AI57/1000</f>
        <v>#VALUE!</v>
      </c>
      <c r="AJ57" s="672">
        <f>'Water Dec'!AJ57/1000</f>
        <v>0</v>
      </c>
      <c r="AK57" s="672">
        <f>'Water Dec'!AK57/1000</f>
        <v>0</v>
      </c>
      <c r="AL57" s="672">
        <f>'Water Dec'!AL57/1000</f>
        <v>0</v>
      </c>
      <c r="AM57" s="672">
        <f>'Water Dec'!AM57/1000</f>
        <v>0</v>
      </c>
      <c r="AN57" s="672">
        <f>'Water Dec'!AN57/1000</f>
        <v>0</v>
      </c>
      <c r="AO57" s="672">
        <f>'Water Dec'!AO57/1000</f>
        <v>0</v>
      </c>
      <c r="AP57" s="672">
        <f>'Water Dec'!AP57/1000</f>
        <v>0</v>
      </c>
      <c r="AQ57" s="672">
        <f>'Water Dec'!AQ57/1000</f>
        <v>0</v>
      </c>
      <c r="AR57" s="672">
        <f>'Water Dec'!AR57/1000</f>
        <v>0</v>
      </c>
      <c r="AS57" s="672">
        <f>'Water Dec'!AS57/1000</f>
        <v>0</v>
      </c>
      <c r="AT57" s="672">
        <f>'Water Dec'!AT57/1000</f>
        <v>0</v>
      </c>
      <c r="AU57" s="672">
        <f>'Water Dec'!AU57/1000</f>
        <v>0</v>
      </c>
      <c r="AV57" s="672">
        <f>'Water Dec'!AV57/1000</f>
        <v>0</v>
      </c>
      <c r="AW57" s="672">
        <f>'Water Dec'!AW57/1000</f>
        <v>0</v>
      </c>
      <c r="AX57" s="672">
        <f>'Water Dec'!AX57/1000</f>
        <v>0</v>
      </c>
      <c r="AY57" s="672">
        <f>'Water Dec'!AY57/1000</f>
        <v>0</v>
      </c>
      <c r="AZ57" s="672">
        <f>'Water Dec'!AZ57/1000</f>
        <v>0</v>
      </c>
      <c r="BA57" s="672">
        <f>'Water Dec'!BA57/1000</f>
        <v>0</v>
      </c>
      <c r="BB57" s="672">
        <f>'Water Dec'!BB57/1000</f>
        <v>0</v>
      </c>
      <c r="BC57" s="672" t="e">
        <f>'Water Dec'!BC57/1000</f>
        <v>#VALUE!</v>
      </c>
      <c r="BD57" s="672">
        <f>'Water Dec'!BD57/1000</f>
        <v>0</v>
      </c>
      <c r="BE57" s="672">
        <f>'Water Dec'!BE57/1000</f>
        <v>0</v>
      </c>
      <c r="BF57" s="672">
        <f>'Water Dec'!BF57/1000</f>
        <v>0</v>
      </c>
      <c r="BG57" s="674" t="s">
        <v>505</v>
      </c>
      <c r="BH57" s="674" t="s">
        <v>505</v>
      </c>
      <c r="BI57" s="674" t="s">
        <v>505</v>
      </c>
      <c r="BJ57" s="674" t="s">
        <v>505</v>
      </c>
      <c r="BK57" s="674" t="s">
        <v>505</v>
      </c>
      <c r="BL57" s="676">
        <f>ROUND('Water Dec'!BL57,-3)</f>
        <v>0</v>
      </c>
      <c r="BM57" s="685">
        <f>ROUND('Water Dec'!BM57,-3)</f>
        <v>0</v>
      </c>
      <c r="BN57" s="686">
        <f>ROUND('Water Dec'!BN57,-3)</f>
        <v>0</v>
      </c>
      <c r="BO57" s="636"/>
      <c r="BP57" s="637"/>
      <c r="BQ57" s="637"/>
      <c r="BR57" s="637"/>
      <c r="BS57" s="637"/>
      <c r="BT57" s="637"/>
      <c r="BU57" s="637"/>
      <c r="BV57" s="637"/>
      <c r="BW57" s="637"/>
      <c r="BX57" s="637"/>
      <c r="BY57" s="637"/>
      <c r="BZ57" s="637"/>
      <c r="CA57" s="637"/>
      <c r="CB57" s="638"/>
    </row>
    <row r="58" spans="1:80" ht="14.25" customHeight="1" thickBot="1" x14ac:dyDescent="0.4">
      <c r="A58" s="701" t="s">
        <v>396</v>
      </c>
      <c r="B58" s="672">
        <f>'Water Dec'!B58/1000</f>
        <v>0</v>
      </c>
      <c r="C58" s="672">
        <f>'Water Dec'!C58/1000</f>
        <v>0</v>
      </c>
      <c r="D58" s="672">
        <f>'Water Dec'!D58/1000</f>
        <v>0</v>
      </c>
      <c r="E58" s="672">
        <f>'Water Dec'!E58/1000</f>
        <v>0</v>
      </c>
      <c r="F58" s="672">
        <f>'Water Dec'!F58/1000</f>
        <v>0</v>
      </c>
      <c r="G58" s="672">
        <f>'Water Dec'!G58/1000</f>
        <v>0</v>
      </c>
      <c r="H58" s="672">
        <f>'Water Dec'!H58/1000</f>
        <v>0</v>
      </c>
      <c r="I58" s="672">
        <f>'Water Dec'!I58/1000</f>
        <v>0</v>
      </c>
      <c r="J58" s="672">
        <f>'Water Dec'!J58/1000</f>
        <v>0</v>
      </c>
      <c r="K58" s="639" t="str">
        <f t="shared" si="15"/>
        <v>MATCH</v>
      </c>
      <c r="L58" s="672">
        <f>'Water Dec'!L58/1000</f>
        <v>0</v>
      </c>
      <c r="M58" s="672">
        <f>'Water Dec'!M58/1000</f>
        <v>0</v>
      </c>
      <c r="N58" s="672">
        <f>'Water Dec'!N58/1000</f>
        <v>0</v>
      </c>
      <c r="O58" s="672">
        <f>'Water Dec'!O58/1000</f>
        <v>0</v>
      </c>
      <c r="P58" s="672">
        <f>'Water Dec'!P58/1000</f>
        <v>0</v>
      </c>
      <c r="Q58" s="672">
        <f>'Water Dec'!Q58/1000</f>
        <v>0</v>
      </c>
      <c r="R58" s="672">
        <f>'Water Dec'!R58/1000</f>
        <v>0</v>
      </c>
      <c r="S58" s="672">
        <f>'Water Dec'!S58/1000</f>
        <v>0</v>
      </c>
      <c r="T58" s="672">
        <f>'Water Dec'!T58/1000</f>
        <v>0</v>
      </c>
      <c r="U58" s="672">
        <f>'Water Dec'!U58/1000</f>
        <v>0</v>
      </c>
      <c r="V58" s="624" t="str">
        <f t="shared" si="10"/>
        <v>MATCH</v>
      </c>
      <c r="W58" s="672">
        <f>'Water Dec'!W58/1000</f>
        <v>0</v>
      </c>
      <c r="X58" s="672">
        <f>'Water Dec'!X58/1000</f>
        <v>0</v>
      </c>
      <c r="Y58" s="672">
        <f>'Water Dec'!Y58/1000</f>
        <v>0</v>
      </c>
      <c r="Z58" s="672">
        <f>'Water Dec'!Z58/1000</f>
        <v>0</v>
      </c>
      <c r="AA58" s="672">
        <f>'Water Dec'!AA58/1000</f>
        <v>0</v>
      </c>
      <c r="AB58" s="672">
        <f>'Water Dec'!AB58/1000</f>
        <v>0</v>
      </c>
      <c r="AC58" s="672">
        <f>'Water Dec'!AC58/1000</f>
        <v>0</v>
      </c>
      <c r="AD58" s="672">
        <f>'Water Dec'!AD58/1000</f>
        <v>0</v>
      </c>
      <c r="AE58" s="672">
        <f>'Water Dec'!AE58/1000</f>
        <v>0</v>
      </c>
      <c r="AF58" s="672">
        <f>'Water Dec'!AF58/1000</f>
        <v>0</v>
      </c>
      <c r="AG58" s="672">
        <f>'Water Dec'!AG58/1000</f>
        <v>0</v>
      </c>
      <c r="AH58" s="672">
        <f>'Water Dec'!AH58/1000</f>
        <v>0</v>
      </c>
      <c r="AI58" s="672" t="e">
        <f>'Water Dec'!AI58/1000</f>
        <v>#VALUE!</v>
      </c>
      <c r="AJ58" s="672">
        <f>'Water Dec'!AJ58/1000</f>
        <v>0</v>
      </c>
      <c r="AK58" s="672">
        <f>'Water Dec'!AK58/1000</f>
        <v>0</v>
      </c>
      <c r="AL58" s="672">
        <f>'Water Dec'!AL58/1000</f>
        <v>0</v>
      </c>
      <c r="AM58" s="672">
        <f>'Water Dec'!AM58/1000</f>
        <v>0</v>
      </c>
      <c r="AN58" s="672">
        <f>'Water Dec'!AN58/1000</f>
        <v>0</v>
      </c>
      <c r="AO58" s="672">
        <f>'Water Dec'!AO58/1000</f>
        <v>0</v>
      </c>
      <c r="AP58" s="672">
        <f>'Water Dec'!AP58/1000</f>
        <v>0</v>
      </c>
      <c r="AQ58" s="672">
        <f>'Water Dec'!AQ58/1000</f>
        <v>0</v>
      </c>
      <c r="AR58" s="672">
        <f>'Water Dec'!AR58/1000</f>
        <v>0</v>
      </c>
      <c r="AS58" s="672">
        <f>'Water Dec'!AS58/1000</f>
        <v>0</v>
      </c>
      <c r="AT58" s="672">
        <f>'Water Dec'!AT58/1000</f>
        <v>0</v>
      </c>
      <c r="AU58" s="672">
        <f>'Water Dec'!AU58/1000</f>
        <v>0</v>
      </c>
      <c r="AV58" s="672">
        <f>'Water Dec'!AV58/1000</f>
        <v>0</v>
      </c>
      <c r="AW58" s="672">
        <f>'Water Dec'!AW58/1000</f>
        <v>0</v>
      </c>
      <c r="AX58" s="672">
        <f>'Water Dec'!AX58/1000</f>
        <v>0</v>
      </c>
      <c r="AY58" s="672">
        <f>'Water Dec'!AY58/1000</f>
        <v>0</v>
      </c>
      <c r="AZ58" s="672">
        <f>'Water Dec'!AZ58/1000</f>
        <v>0</v>
      </c>
      <c r="BA58" s="672">
        <f>'Water Dec'!BA58/1000</f>
        <v>0</v>
      </c>
      <c r="BB58" s="672">
        <f>'Water Dec'!BB58/1000</f>
        <v>0</v>
      </c>
      <c r="BC58" s="672" t="e">
        <f>'Water Dec'!BC58/1000</f>
        <v>#VALUE!</v>
      </c>
      <c r="BD58" s="672">
        <f>'Water Dec'!BD58/1000</f>
        <v>0</v>
      </c>
      <c r="BE58" s="672">
        <f>'Water Dec'!BE58/1000</f>
        <v>0</v>
      </c>
      <c r="BF58" s="672">
        <f>'Water Dec'!BF58/1000</f>
        <v>0</v>
      </c>
      <c r="BG58" s="674" t="s">
        <v>505</v>
      </c>
      <c r="BH58" s="674" t="s">
        <v>505</v>
      </c>
      <c r="BI58" s="674" t="s">
        <v>505</v>
      </c>
      <c r="BJ58" s="674" t="s">
        <v>505</v>
      </c>
      <c r="BK58" s="674" t="s">
        <v>505</v>
      </c>
      <c r="BL58" s="676">
        <f>ROUND('Water Dec'!BL58,-3)</f>
        <v>0</v>
      </c>
      <c r="BM58" s="685">
        <f>ROUND('Water Dec'!BM58,-3)</f>
        <v>0</v>
      </c>
      <c r="BN58" s="686">
        <f>ROUND('Water Dec'!BN58,-3)</f>
        <v>0</v>
      </c>
      <c r="BO58" s="702"/>
      <c r="BP58" s="703"/>
      <c r="BQ58" s="703"/>
      <c r="BR58" s="703"/>
      <c r="BS58" s="703"/>
      <c r="BT58" s="703"/>
      <c r="BU58" s="703"/>
      <c r="BV58" s="703"/>
      <c r="BW58" s="703"/>
      <c r="BX58" s="703"/>
      <c r="BY58" s="703"/>
      <c r="BZ58" s="703"/>
      <c r="CA58" s="703"/>
      <c r="CB58" s="704"/>
    </row>
    <row r="60" spans="1:80" ht="14.25" customHeight="1" x14ac:dyDescent="0.35">
      <c r="BB60" s="707"/>
    </row>
    <row r="62" spans="1:80" ht="42.75" customHeight="1" x14ac:dyDescent="0.35">
      <c r="A62" s="708" t="s">
        <v>543</v>
      </c>
      <c r="B62" s="1015" t="s">
        <v>544</v>
      </c>
      <c r="C62" s="1015"/>
      <c r="D62" s="1015"/>
      <c r="E62" s="1015"/>
      <c r="F62" s="1015"/>
      <c r="G62" s="1015"/>
      <c r="H62" s="1015"/>
    </row>
    <row r="63" spans="1:80" ht="14.25" customHeight="1" x14ac:dyDescent="0.35">
      <c r="A63" s="709"/>
      <c r="B63" s="1015"/>
      <c r="C63" s="1015"/>
      <c r="D63" s="1015"/>
      <c r="E63" s="1015"/>
      <c r="F63" s="1015"/>
      <c r="G63" s="1015"/>
      <c r="H63" s="1015"/>
    </row>
    <row r="64" spans="1:80" ht="14.25" customHeight="1" x14ac:dyDescent="0.35">
      <c r="A64" s="709"/>
      <c r="B64" s="1015"/>
      <c r="C64" s="1015"/>
      <c r="D64" s="1015"/>
      <c r="E64" s="1015"/>
      <c r="F64" s="1015"/>
      <c r="G64" s="1015"/>
      <c r="H64" s="1015"/>
    </row>
  </sheetData>
  <sheetProtection sheet="1" objects="1" scenarios="1"/>
  <mergeCells count="40">
    <mergeCell ref="CA2:CB2"/>
    <mergeCell ref="B62:H64"/>
    <mergeCell ref="BA2:BA3"/>
    <mergeCell ref="BB2:BC2"/>
    <mergeCell ref="BD2:BD3"/>
    <mergeCell ref="BO2:BS2"/>
    <mergeCell ref="BT2:BV2"/>
    <mergeCell ref="BW2:BZ2"/>
    <mergeCell ref="AK2:AQ2"/>
    <mergeCell ref="AR2:AR3"/>
    <mergeCell ref="AS2:AS3"/>
    <mergeCell ref="AT2:AV2"/>
    <mergeCell ref="AW2:AW3"/>
    <mergeCell ref="AX2:AZ2"/>
    <mergeCell ref="BL1:BL3"/>
    <mergeCell ref="BM1:BM3"/>
    <mergeCell ref="BN1:BN3"/>
    <mergeCell ref="BO1:CB1"/>
    <mergeCell ref="B2:I2"/>
    <mergeCell ref="J2:K2"/>
    <mergeCell ref="L2:L3"/>
    <mergeCell ref="M2:T2"/>
    <mergeCell ref="U2:V2"/>
    <mergeCell ref="W2:W3"/>
    <mergeCell ref="BF1:BF3"/>
    <mergeCell ref="BG1:BG3"/>
    <mergeCell ref="BH1:BH3"/>
    <mergeCell ref="BI1:BI3"/>
    <mergeCell ref="BJ1:BJ3"/>
    <mergeCell ref="BK1:BK3"/>
    <mergeCell ref="B1:X1"/>
    <mergeCell ref="Y1:Y3"/>
    <mergeCell ref="Z1:Z3"/>
    <mergeCell ref="AA1:AS1"/>
    <mergeCell ref="AT1:BD1"/>
    <mergeCell ref="BE1:BE3"/>
    <mergeCell ref="X2:X3"/>
    <mergeCell ref="AA2:AG2"/>
    <mergeCell ref="AH2:AI2"/>
    <mergeCell ref="AJ2:AJ3"/>
  </mergeCells>
  <conditionalFormatting sqref="K1 BC4:BC5 AI4:AI5 AI11 BC11 BC13 AI13 AI15 BC15 BC17 AI17 AI21 BC21 BC23:BC24 AI23:AI24 AI26 BC26 BC28 AI28 AI31 BC31 BC33:BC34 AI33:AI34 AI36:AI40 BC36:BC40 BC42:BC50 AI42:AI50 BC59:BC1048576 AI7:AI8 BC7:BC8 K3:K1048576 V4:V58">
    <cfRule type="cellIs" dxfId="13" priority="13" operator="equal">
      <formula>"FIX NEEDED"</formula>
    </cfRule>
    <cfRule type="cellIs" dxfId="12" priority="14" operator="equal">
      <formula>"MATCH"</formula>
    </cfRule>
  </conditionalFormatting>
  <conditionalFormatting sqref="AI1 AI59:AI1048576">
    <cfRule type="cellIs" dxfId="11" priority="11" operator="equal">
      <formula>"FIX NEEDED"</formula>
    </cfRule>
    <cfRule type="cellIs" dxfId="10" priority="12" operator="equal">
      <formula>"MATCH"</formula>
    </cfRule>
  </conditionalFormatting>
  <conditionalFormatting sqref="BC1">
    <cfRule type="cellIs" dxfId="9" priority="9" operator="equal">
      <formula>"FIX NEEDED"</formula>
    </cfRule>
    <cfRule type="cellIs" dxfId="8" priority="10" operator="equal">
      <formula>"MATCH"</formula>
    </cfRule>
  </conditionalFormatting>
  <conditionalFormatting sqref="V1 V59:V1048576">
    <cfRule type="cellIs" dxfId="7" priority="7" operator="equal">
      <formula>"FIX NEEDED"</formula>
    </cfRule>
    <cfRule type="cellIs" dxfId="6" priority="8" operator="equal">
      <formula>"MATCH"</formula>
    </cfRule>
  </conditionalFormatting>
  <conditionalFormatting sqref="V3">
    <cfRule type="cellIs" dxfId="5" priority="5" operator="equal">
      <formula>"FIX NEEDED"</formula>
    </cfRule>
    <cfRule type="cellIs" dxfId="4" priority="6" operator="equal">
      <formula>"MATCH"</formula>
    </cfRule>
  </conditionalFormatting>
  <conditionalFormatting sqref="AI3">
    <cfRule type="cellIs" dxfId="3" priority="3" operator="equal">
      <formula>"FIX NEEDED"</formula>
    </cfRule>
    <cfRule type="cellIs" dxfId="2" priority="4" operator="equal">
      <formula>"MATCH"</formula>
    </cfRule>
  </conditionalFormatting>
  <conditionalFormatting sqref="BC3">
    <cfRule type="cellIs" dxfId="1" priority="1" operator="equal">
      <formula>"FIX NEEDED"</formula>
    </cfRule>
    <cfRule type="cellIs" dxfId="0" priority="2" operator="equal">
      <formula>"MATCH"</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A345C-9BEF-4DB8-A01C-1A5DE071E478}">
  <sheetPr>
    <tabColor rgb="FF92D050"/>
  </sheetPr>
  <dimension ref="A1:BS122"/>
  <sheetViews>
    <sheetView showGridLines="0" zoomScale="90" zoomScaleNormal="90" workbookViewId="0">
      <pane xSplit="1" ySplit="2" topLeftCell="B3" activePane="bottomRight" state="frozen"/>
      <selection pane="topRight" activeCell="H1" sqref="H1:O1"/>
      <selection pane="bottomLeft" activeCell="H1" sqref="H1:O1"/>
      <selection pane="bottomRight" activeCell="M50" sqref="M50"/>
    </sheetView>
  </sheetViews>
  <sheetFormatPr defaultColWidth="9.1796875" defaultRowHeight="14.5" x14ac:dyDescent="0.35"/>
  <cols>
    <col min="1" max="1" width="47.81640625" style="198" bestFit="1" customWidth="1"/>
    <col min="2" max="5" width="20.54296875" style="198" customWidth="1"/>
    <col min="6" max="6" width="20.54296875" style="198" hidden="1" customWidth="1"/>
    <col min="7" max="8" width="20.54296875" style="245" customWidth="1"/>
    <col min="9" max="19" width="20.54296875" style="198" customWidth="1"/>
    <col min="20" max="16384" width="9.1796875" style="198"/>
  </cols>
  <sheetData>
    <row r="1" spans="1:71" s="176" customFormat="1" ht="15" thickBot="1" x14ac:dyDescent="0.4">
      <c r="B1" s="1034" t="s">
        <v>550</v>
      </c>
      <c r="C1" s="1035"/>
      <c r="D1" s="1035"/>
      <c r="E1" s="1035"/>
      <c r="F1" s="1035"/>
      <c r="G1" s="1035"/>
      <c r="H1" s="1036"/>
      <c r="I1" s="1034" t="s">
        <v>551</v>
      </c>
      <c r="J1" s="1035"/>
      <c r="K1" s="1035"/>
      <c r="L1" s="1035"/>
      <c r="M1" s="1035"/>
      <c r="N1" s="1035"/>
      <c r="O1" s="1035"/>
      <c r="P1" s="1036"/>
      <c r="Q1" s="1034" t="s">
        <v>552</v>
      </c>
      <c r="R1" s="1035"/>
      <c r="S1" s="1036"/>
    </row>
    <row r="2" spans="1:71" s="177" customFormat="1" ht="29.5" thickBot="1" x14ac:dyDescent="0.4">
      <c r="A2" s="270"/>
      <c r="B2" s="342" t="s">
        <v>553</v>
      </c>
      <c r="C2" s="343" t="s">
        <v>554</v>
      </c>
      <c r="D2" s="343" t="s">
        <v>555</v>
      </c>
      <c r="E2" s="343" t="s">
        <v>556</v>
      </c>
      <c r="F2" s="343" t="s">
        <v>557</v>
      </c>
      <c r="G2" s="344" t="s">
        <v>558</v>
      </c>
      <c r="H2" s="345" t="s">
        <v>559</v>
      </c>
      <c r="I2" s="342" t="s">
        <v>560</v>
      </c>
      <c r="J2" s="343" t="s">
        <v>561</v>
      </c>
      <c r="K2" s="343" t="s">
        <v>562</v>
      </c>
      <c r="L2" s="343" t="s">
        <v>563</v>
      </c>
      <c r="M2" s="343" t="s">
        <v>564</v>
      </c>
      <c r="N2" s="343" t="s">
        <v>565</v>
      </c>
      <c r="O2" s="344" t="s">
        <v>566</v>
      </c>
      <c r="P2" s="345" t="s">
        <v>567</v>
      </c>
      <c r="Q2" s="346" t="s">
        <v>409</v>
      </c>
      <c r="R2" s="347" t="s">
        <v>410</v>
      </c>
      <c r="S2" s="348" t="s">
        <v>411</v>
      </c>
    </row>
    <row r="3" spans="1:71" s="176" customFormat="1" x14ac:dyDescent="0.35">
      <c r="A3" s="271" t="s">
        <v>348</v>
      </c>
      <c r="B3" s="304">
        <f>B5+B21+B32+B4</f>
        <v>6130630.4499999993</v>
      </c>
      <c r="C3" s="305">
        <f>C5+C21+C32+C4</f>
        <v>1267920.8399999999</v>
      </c>
      <c r="D3" s="305">
        <f>D5+D21+D32+D4</f>
        <v>972630.33999999985</v>
      </c>
      <c r="E3" s="305">
        <f>E5+E21+E32+E4</f>
        <v>7103260.790000001</v>
      </c>
      <c r="F3" s="305">
        <f>F5+F21+F32+F4</f>
        <v>0</v>
      </c>
      <c r="G3" s="401">
        <f>(E3-E14-E20)/Q3</f>
        <v>0.9679046779360011</v>
      </c>
      <c r="H3" s="402">
        <f t="shared" ref="H3:H33" si="0">E3/S3</f>
        <v>4.3578162044706811E-2</v>
      </c>
      <c r="I3" s="304">
        <f>I5+I21+I32+I4</f>
        <v>1107463.6399999999</v>
      </c>
      <c r="J3" s="305">
        <f>J5+J21+J32+J4</f>
        <v>66114.92</v>
      </c>
      <c r="K3" s="305">
        <f>K5+K21+K32+K4</f>
        <v>16095248.99</v>
      </c>
      <c r="L3" s="305">
        <f>L5+L21+L32+L4</f>
        <v>66344740.74000001</v>
      </c>
      <c r="M3" s="305">
        <f>M5+M21+M32+M4</f>
        <v>83613568.289999992</v>
      </c>
      <c r="N3" s="306">
        <f>(I3+J3)/M3</f>
        <v>1.403574304985567E-2</v>
      </c>
      <c r="O3" s="307">
        <f>(M3-M13-M19)/Q3</f>
        <v>11.301278095269103</v>
      </c>
      <c r="P3" s="415">
        <f>M3/S3</f>
        <v>0.51296520510797383</v>
      </c>
      <c r="Q3" s="308">
        <f>Q5+Q21+Q32+Q4</f>
        <v>6950487.3500000006</v>
      </c>
      <c r="R3" s="309">
        <f>R5+R21+R32+R4</f>
        <v>431229183.67000002</v>
      </c>
      <c r="S3" s="310">
        <f>S5+S21+S32+S4</f>
        <v>163000467.59</v>
      </c>
    </row>
    <row r="4" spans="1:71" s="176" customFormat="1" x14ac:dyDescent="0.35">
      <c r="A4" s="272" t="s">
        <v>568</v>
      </c>
      <c r="B4" s="178">
        <v>3115.25</v>
      </c>
      <c r="C4" s="179"/>
      <c r="D4" s="179"/>
      <c r="E4" s="179">
        <f>+B4+D4</f>
        <v>3115.25</v>
      </c>
      <c r="F4" s="179"/>
      <c r="G4" s="180"/>
      <c r="H4" s="181"/>
      <c r="I4" s="178"/>
      <c r="J4" s="179"/>
      <c r="K4" s="179"/>
      <c r="L4" s="179">
        <v>33964.81</v>
      </c>
      <c r="M4" s="179">
        <v>33964.81</v>
      </c>
      <c r="N4" s="182"/>
      <c r="O4" s="183"/>
      <c r="P4" s="184"/>
      <c r="Q4" s="185"/>
      <c r="R4" s="186"/>
      <c r="S4" s="187"/>
    </row>
    <row r="5" spans="1:71" s="176" customFormat="1" x14ac:dyDescent="0.35">
      <c r="A5" s="272" t="s">
        <v>349</v>
      </c>
      <c r="B5" s="178">
        <f>B6+B9+B11+B13+B15+B19</f>
        <v>960565.35000000009</v>
      </c>
      <c r="C5" s="179">
        <f>C6+C9+C11+C13+C15+C19</f>
        <v>353069.58999999997</v>
      </c>
      <c r="D5" s="179">
        <f>D6+D9+D11+D13+D15+D19</f>
        <v>353069.58999999997</v>
      </c>
      <c r="E5" s="179">
        <f>E6+E9+E11+E13+E15+E19</f>
        <v>1313634.9400000002</v>
      </c>
      <c r="F5" s="179">
        <f t="shared" ref="F5:L5" si="1">F6+F9+F11+F13+F15+F19</f>
        <v>0</v>
      </c>
      <c r="G5" s="180">
        <f>(E5-E14-E20)/Q5</f>
        <v>0.40985641746972068</v>
      </c>
      <c r="H5" s="181">
        <f t="shared" si="0"/>
        <v>2.558574941891208E-2</v>
      </c>
      <c r="I5" s="178">
        <f t="shared" si="1"/>
        <v>1094144.94</v>
      </c>
      <c r="J5" s="179">
        <f t="shared" si="1"/>
        <v>0</v>
      </c>
      <c r="K5" s="179">
        <f t="shared" si="1"/>
        <v>3789665.7800000003</v>
      </c>
      <c r="L5" s="179">
        <f t="shared" si="1"/>
        <v>13422665.940000001</v>
      </c>
      <c r="M5" s="179">
        <f>M6+M9+M11+M13+M15+M19</f>
        <v>18306476.660000004</v>
      </c>
      <c r="N5" s="182">
        <f t="shared" ref="N5:N48" si="2">(I5+J5)/M5</f>
        <v>5.9768188074700752E-2</v>
      </c>
      <c r="O5" s="183">
        <f>(M5-M13-M19)/Q5</f>
        <v>5.7875212154062243</v>
      </c>
      <c r="P5" s="184">
        <f t="shared" ref="P5:P50" si="3">M5/S5</f>
        <v>0.35655638435281162</v>
      </c>
      <c r="Q5" s="172">
        <f t="shared" ref="Q5:S5" si="4">Q6+Q9+Q11+Q13+Q15+Q19</f>
        <v>2288077.8000000003</v>
      </c>
      <c r="R5" s="104">
        <f t="shared" si="4"/>
        <v>393340832.72000003</v>
      </c>
      <c r="S5" s="114">
        <f t="shared" si="4"/>
        <v>51342445.299999997</v>
      </c>
    </row>
    <row r="6" spans="1:71" s="199" customFormat="1" x14ac:dyDescent="0.35">
      <c r="A6" s="291" t="s">
        <v>351</v>
      </c>
      <c r="B6" s="256">
        <f>SUM(B7:B8)</f>
        <v>351725.53</v>
      </c>
      <c r="C6" s="257">
        <f t="shared" ref="C6:D6" si="5">SUM(C7:C8)</f>
        <v>0</v>
      </c>
      <c r="D6" s="257">
        <f t="shared" si="5"/>
        <v>0</v>
      </c>
      <c r="E6" s="257">
        <f>SUM(E7:E8)</f>
        <v>351725.53</v>
      </c>
      <c r="F6" s="257">
        <f t="shared" ref="F6" si="6">SUM(F7:F8)</f>
        <v>0</v>
      </c>
      <c r="G6" s="258">
        <f t="shared" ref="G6:G10" si="7">E6/Q6</f>
        <v>0.50469941928624007</v>
      </c>
      <c r="H6" s="259">
        <f t="shared" si="0"/>
        <v>7.0083875362972059E-2</v>
      </c>
      <c r="I6" s="256">
        <f>SUM(I7:I8)</f>
        <v>146024.32000000001</v>
      </c>
      <c r="J6" s="257">
        <f t="shared" ref="J6" si="8">SUM(J7:J8)</f>
        <v>0</v>
      </c>
      <c r="K6" s="257">
        <f t="shared" ref="K6" si="9">SUM(K7:K8)</f>
        <v>0</v>
      </c>
      <c r="L6" s="257">
        <f t="shared" ref="L6" si="10">SUM(L7:L8)</f>
        <v>4899956.42</v>
      </c>
      <c r="M6" s="257">
        <f>SUM(M7:M8)</f>
        <v>5045980.74</v>
      </c>
      <c r="N6" s="260">
        <f t="shared" si="2"/>
        <v>2.8938739072555397E-2</v>
      </c>
      <c r="O6" s="261">
        <f>M6/Q6</f>
        <v>7.2405990807876588</v>
      </c>
      <c r="P6" s="262">
        <f t="shared" si="3"/>
        <v>1.0054484394866574</v>
      </c>
      <c r="Q6" s="195">
        <f>SUM(Q7:Q8)</f>
        <v>696901</v>
      </c>
      <c r="R6" s="196">
        <f t="shared" ref="R6:S6" si="11">SUM(R7:R8)</f>
        <v>0</v>
      </c>
      <c r="S6" s="197">
        <f t="shared" si="11"/>
        <v>5018637</v>
      </c>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row>
    <row r="7" spans="1:71" x14ac:dyDescent="0.35">
      <c r="A7" s="292" t="s">
        <v>352</v>
      </c>
      <c r="B7" s="263">
        <f>268037.28+83688.25</f>
        <v>351725.53</v>
      </c>
      <c r="C7" s="264">
        <v>0</v>
      </c>
      <c r="D7" s="264">
        <v>0</v>
      </c>
      <c r="E7" s="264">
        <f>SUM(B7+D7)</f>
        <v>351725.53</v>
      </c>
      <c r="F7" s="264">
        <f t="shared" ref="F7:F20" si="12">ROUND(F63, -3)</f>
        <v>0</v>
      </c>
      <c r="G7" s="265">
        <f t="shared" si="7"/>
        <v>0.50469941928624007</v>
      </c>
      <c r="H7" s="266">
        <f>E7/S7</f>
        <v>7.0083875362972059E-2</v>
      </c>
      <c r="I7" s="263">
        <v>146024.32000000001</v>
      </c>
      <c r="J7" s="264"/>
      <c r="K7" s="264"/>
      <c r="L7" s="264">
        <f>(3858692.39-146024.32)+1187288.35</f>
        <v>4899956.42</v>
      </c>
      <c r="M7" s="264">
        <f>3858692.39+1187288.35</f>
        <v>5045980.74</v>
      </c>
      <c r="N7" s="267">
        <f>(I7+J7)/M7</f>
        <v>2.8938739072555397E-2</v>
      </c>
      <c r="O7" s="268">
        <f>M7/Q7</f>
        <v>7.2405990807876588</v>
      </c>
      <c r="P7" s="269">
        <f>M7/S7</f>
        <v>1.0054484394866574</v>
      </c>
      <c r="Q7" s="209">
        <f>383215+313686</f>
        <v>696901</v>
      </c>
      <c r="R7" s="207">
        <v>0</v>
      </c>
      <c r="S7" s="208">
        <f>2692039+2326598</f>
        <v>5018637</v>
      </c>
    </row>
    <row r="8" spans="1:71" hidden="1" x14ac:dyDescent="0.35">
      <c r="A8" s="292" t="s">
        <v>353</v>
      </c>
      <c r="B8" s="263"/>
      <c r="C8" s="264">
        <v>0</v>
      </c>
      <c r="D8" s="264">
        <v>0</v>
      </c>
      <c r="E8" s="264">
        <f>SUM(B8+D8)</f>
        <v>0</v>
      </c>
      <c r="F8" s="264">
        <f t="shared" si="12"/>
        <v>0</v>
      </c>
      <c r="G8" s="265" t="e">
        <f t="shared" si="7"/>
        <v>#DIV/0!</v>
      </c>
      <c r="H8" s="266" t="e">
        <f>E8/S8</f>
        <v>#DIV/0!</v>
      </c>
      <c r="I8" s="263"/>
      <c r="J8" s="264"/>
      <c r="K8" s="264"/>
      <c r="L8" s="264"/>
      <c r="M8" s="264"/>
      <c r="N8" s="267" t="e">
        <f>(I8+J8)/M8</f>
        <v>#DIV/0!</v>
      </c>
      <c r="O8" s="268" t="e">
        <f t="shared" ref="O8:O12" si="13">M8/Q8</f>
        <v>#DIV/0!</v>
      </c>
      <c r="P8" s="269" t="e">
        <f t="shared" si="3"/>
        <v>#DIV/0!</v>
      </c>
      <c r="Q8" s="209"/>
      <c r="R8" s="207">
        <v>0</v>
      </c>
      <c r="S8" s="208"/>
    </row>
    <row r="9" spans="1:71" s="199" customFormat="1" ht="13.75" customHeight="1" x14ac:dyDescent="0.35">
      <c r="A9" s="291" t="s">
        <v>354</v>
      </c>
      <c r="B9" s="256">
        <f>B10</f>
        <v>109965.61</v>
      </c>
      <c r="C9" s="257">
        <f t="shared" ref="C9:D9" si="14">C10</f>
        <v>64912.26</v>
      </c>
      <c r="D9" s="257">
        <f t="shared" si="14"/>
        <v>64912.26</v>
      </c>
      <c r="E9" s="257">
        <f>E10</f>
        <v>174877.87</v>
      </c>
      <c r="F9" s="257">
        <f t="shared" ref="F9" si="15">F10</f>
        <v>0</v>
      </c>
      <c r="G9" s="258">
        <f t="shared" si="7"/>
        <v>0.84010007727592884</v>
      </c>
      <c r="H9" s="259">
        <f t="shared" si="0"/>
        <v>4.01694599443886E-2</v>
      </c>
      <c r="I9" s="256">
        <f>I10</f>
        <v>0</v>
      </c>
      <c r="J9" s="257">
        <f t="shared" ref="J9" si="16">J10</f>
        <v>0</v>
      </c>
      <c r="K9" s="257">
        <f t="shared" ref="K9" si="17">K10</f>
        <v>673263.36</v>
      </c>
      <c r="L9" s="257">
        <f t="shared" ref="L9" si="18">L10</f>
        <v>1508643.8600000003</v>
      </c>
      <c r="M9" s="257">
        <f>M10</f>
        <v>2181907.2200000002</v>
      </c>
      <c r="N9" s="260">
        <f t="shared" si="2"/>
        <v>0</v>
      </c>
      <c r="O9" s="261">
        <f t="shared" si="13"/>
        <v>10.481717464484827</v>
      </c>
      <c r="P9" s="262">
        <f t="shared" si="3"/>
        <v>0.50118425319431381</v>
      </c>
      <c r="Q9" s="195">
        <f>Q10</f>
        <v>208163.14</v>
      </c>
      <c r="R9" s="196">
        <f t="shared" ref="R9:S9" si="19">R10</f>
        <v>0</v>
      </c>
      <c r="S9" s="197">
        <f t="shared" si="19"/>
        <v>4353503.1399999997</v>
      </c>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row>
    <row r="10" spans="1:71" x14ac:dyDescent="0.35">
      <c r="A10" s="292" t="s">
        <v>355</v>
      </c>
      <c r="B10" s="263">
        <v>109965.61</v>
      </c>
      <c r="C10" s="264">
        <v>64912.26</v>
      </c>
      <c r="D10" s="264">
        <v>64912.26</v>
      </c>
      <c r="E10" s="264">
        <f>SUM(B10+D10)</f>
        <v>174877.87</v>
      </c>
      <c r="F10" s="264">
        <f t="shared" si="12"/>
        <v>0</v>
      </c>
      <c r="G10" s="265">
        <f t="shared" si="7"/>
        <v>0.84010007727592884</v>
      </c>
      <c r="H10" s="266">
        <f>E10/S10</f>
        <v>4.01694599443886E-2</v>
      </c>
      <c r="I10" s="263">
        <v>0</v>
      </c>
      <c r="J10" s="264">
        <v>0</v>
      </c>
      <c r="K10" s="264">
        <v>673263.36</v>
      </c>
      <c r="L10" s="264">
        <f>2181907.22-673263.36</f>
        <v>1508643.8600000003</v>
      </c>
      <c r="M10" s="264">
        <f>SUM(I10:L10)</f>
        <v>2181907.2200000002</v>
      </c>
      <c r="N10" s="267">
        <f>(I10+J10)/M10</f>
        <v>0</v>
      </c>
      <c r="O10" s="268">
        <f t="shared" ref="O10" si="20">M10/Q10</f>
        <v>10.481717464484827</v>
      </c>
      <c r="P10" s="269">
        <f t="shared" ref="P10" si="21">M10/S10</f>
        <v>0.50118425319431381</v>
      </c>
      <c r="Q10" s="209">
        <v>208163.14</v>
      </c>
      <c r="R10" s="207">
        <v>0</v>
      </c>
      <c r="S10" s="208">
        <v>4353503.1399999997</v>
      </c>
    </row>
    <row r="11" spans="1:71" s="199" customFormat="1" x14ac:dyDescent="0.35">
      <c r="A11" s="291" t="s">
        <v>356</v>
      </c>
      <c r="B11" s="256">
        <f>B12</f>
        <v>146190.14000000001</v>
      </c>
      <c r="C11" s="257">
        <f t="shared" ref="C11:D11" si="22">C12</f>
        <v>0</v>
      </c>
      <c r="D11" s="257">
        <f t="shared" si="22"/>
        <v>0</v>
      </c>
      <c r="E11" s="257">
        <f>E12</f>
        <v>146190.14000000001</v>
      </c>
      <c r="F11" s="257">
        <f t="shared" ref="F11" si="23">F12</f>
        <v>0</v>
      </c>
      <c r="G11" s="258">
        <f t="shared" ref="G11" si="24">E11/Q11</f>
        <v>0.17909971209800921</v>
      </c>
      <c r="H11" s="259">
        <f t="shared" si="0"/>
        <v>2.0098940476547776E-2</v>
      </c>
      <c r="I11" s="256">
        <f t="shared" ref="I11:I13" si="25">I12</f>
        <v>948120.62</v>
      </c>
      <c r="J11" s="257">
        <f t="shared" ref="J11:J13" si="26">J12</f>
        <v>0</v>
      </c>
      <c r="K11" s="257">
        <f t="shared" ref="K11:K13" si="27">K12</f>
        <v>0</v>
      </c>
      <c r="L11" s="257">
        <f>L12</f>
        <v>2094464.87</v>
      </c>
      <c r="M11" s="257">
        <f>M12</f>
        <v>3042585.49</v>
      </c>
      <c r="N11" s="260">
        <f t="shared" si="2"/>
        <v>0.31161675591899307</v>
      </c>
      <c r="O11" s="261">
        <f t="shared" si="13"/>
        <v>3.7275166799387445</v>
      </c>
      <c r="P11" s="262">
        <f t="shared" si="3"/>
        <v>0.41830963879176764</v>
      </c>
      <c r="Q11" s="195">
        <f>Q12</f>
        <v>816250</v>
      </c>
      <c r="R11" s="196">
        <f t="shared" ref="R11:S11" si="28">R12</f>
        <v>0</v>
      </c>
      <c r="S11" s="197">
        <f t="shared" si="28"/>
        <v>7273524.7000000002</v>
      </c>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row>
    <row r="12" spans="1:71" x14ac:dyDescent="0.35">
      <c r="A12" s="292" t="s">
        <v>357</v>
      </c>
      <c r="B12" s="263">
        <v>146190.14000000001</v>
      </c>
      <c r="C12" s="264">
        <v>0</v>
      </c>
      <c r="D12" s="264">
        <v>0</v>
      </c>
      <c r="E12" s="264">
        <f>SUM(B12+D12)</f>
        <v>146190.14000000001</v>
      </c>
      <c r="F12" s="264">
        <f t="shared" si="12"/>
        <v>0</v>
      </c>
      <c r="G12" s="265">
        <f>E12/Q12</f>
        <v>0.17909971209800921</v>
      </c>
      <c r="H12" s="266">
        <f>E12/S12</f>
        <v>2.0098940476547776E-2</v>
      </c>
      <c r="I12" s="263">
        <v>948120.62</v>
      </c>
      <c r="J12" s="264">
        <v>0</v>
      </c>
      <c r="K12" s="264"/>
      <c r="L12" s="264">
        <f>3042585.49-948120.62</f>
        <v>2094464.87</v>
      </c>
      <c r="M12" s="264">
        <f>SUM(I12:L12)</f>
        <v>3042585.49</v>
      </c>
      <c r="N12" s="267">
        <f>(I12+J12)/M12</f>
        <v>0.31161675591899307</v>
      </c>
      <c r="O12" s="268">
        <f t="shared" si="13"/>
        <v>3.7275166799387445</v>
      </c>
      <c r="P12" s="269">
        <f t="shared" si="3"/>
        <v>0.41830963879176764</v>
      </c>
      <c r="Q12" s="209">
        <v>816250</v>
      </c>
      <c r="R12" s="207">
        <v>0</v>
      </c>
      <c r="S12" s="208">
        <v>7273524.7000000002</v>
      </c>
    </row>
    <row r="13" spans="1:71" s="199" customFormat="1" x14ac:dyDescent="0.35">
      <c r="A13" s="291" t="s">
        <v>358</v>
      </c>
      <c r="B13" s="256">
        <f>B14</f>
        <v>22653.67</v>
      </c>
      <c r="C13" s="257">
        <f t="shared" ref="C13:D13" si="29">C14</f>
        <v>85342.88</v>
      </c>
      <c r="D13" s="257">
        <f t="shared" si="29"/>
        <v>85342.88</v>
      </c>
      <c r="E13" s="257">
        <f>E14</f>
        <v>107996.55</v>
      </c>
      <c r="F13" s="257">
        <f t="shared" ref="F13" si="30">F14</f>
        <v>0</v>
      </c>
      <c r="G13" s="409">
        <f>(E13/R13)*1000</f>
        <v>0.71406933303119302</v>
      </c>
      <c r="H13" s="259">
        <f t="shared" si="0"/>
        <v>3.8138913422960288E-2</v>
      </c>
      <c r="I13" s="256">
        <f t="shared" si="25"/>
        <v>0</v>
      </c>
      <c r="J13" s="257">
        <f t="shared" si="26"/>
        <v>0</v>
      </c>
      <c r="K13" s="257">
        <f t="shared" si="27"/>
        <v>498071.15</v>
      </c>
      <c r="L13" s="257">
        <f>L14</f>
        <v>322162.99</v>
      </c>
      <c r="M13" s="257">
        <f>M14</f>
        <v>820234.14</v>
      </c>
      <c r="N13" s="260">
        <f t="shared" si="2"/>
        <v>0</v>
      </c>
      <c r="O13" s="407">
        <f>O14</f>
        <v>5.423358850622674</v>
      </c>
      <c r="P13" s="262">
        <f t="shared" si="3"/>
        <v>0.28966516848932944</v>
      </c>
      <c r="Q13" s="195">
        <f>Q14</f>
        <v>0</v>
      </c>
      <c r="R13" s="196">
        <f t="shared" ref="R13:S13" si="31">R14</f>
        <v>151240986</v>
      </c>
      <c r="S13" s="197">
        <f t="shared" si="31"/>
        <v>2831663</v>
      </c>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row>
    <row r="14" spans="1:71" x14ac:dyDescent="0.35">
      <c r="A14" s="292" t="s">
        <v>359</v>
      </c>
      <c r="B14" s="263">
        <v>22653.67</v>
      </c>
      <c r="C14" s="264">
        <v>85342.88</v>
      </c>
      <c r="D14" s="264">
        <v>85342.88</v>
      </c>
      <c r="E14" s="264">
        <f>SUM(B14+D14)</f>
        <v>107996.55</v>
      </c>
      <c r="F14" s="264">
        <f t="shared" si="12"/>
        <v>0</v>
      </c>
      <c r="G14" s="410">
        <f>(E14/R14)*1000</f>
        <v>0.71406933303119302</v>
      </c>
      <c r="H14" s="266">
        <f>E14/S14</f>
        <v>3.8138913422960288E-2</v>
      </c>
      <c r="I14" s="263">
        <v>0</v>
      </c>
      <c r="J14" s="264">
        <v>0</v>
      </c>
      <c r="K14" s="264">
        <v>498071.15</v>
      </c>
      <c r="L14" s="264">
        <f>318212.74+3648.87+301.38</f>
        <v>322162.99</v>
      </c>
      <c r="M14" s="264">
        <f>SUM(I14:L14)</f>
        <v>820234.14</v>
      </c>
      <c r="N14" s="267">
        <f>(I14+J14)/M14</f>
        <v>0</v>
      </c>
      <c r="O14" s="406">
        <f>(M14/R14)*1000</f>
        <v>5.423358850622674</v>
      </c>
      <c r="P14" s="269">
        <f t="shared" ref="P14" si="32">M14/S14</f>
        <v>0.28966516848932944</v>
      </c>
      <c r="Q14" s="209">
        <v>0</v>
      </c>
      <c r="R14" s="207">
        <v>151240986</v>
      </c>
      <c r="S14" s="208">
        <v>2831663</v>
      </c>
    </row>
    <row r="15" spans="1:71" s="199" customFormat="1" x14ac:dyDescent="0.35">
      <c r="A15" s="291" t="s">
        <v>360</v>
      </c>
      <c r="B15" s="256">
        <f>SUM(B16:B18)</f>
        <v>119667.98</v>
      </c>
      <c r="C15" s="257">
        <f t="shared" ref="C15:D15" si="33">SUM(C16:C18)</f>
        <v>145321.85</v>
      </c>
      <c r="D15" s="257">
        <f t="shared" si="33"/>
        <v>145321.85</v>
      </c>
      <c r="E15" s="257">
        <f>SUM(E16:E18)</f>
        <v>264989.83</v>
      </c>
      <c r="F15" s="257">
        <f t="shared" ref="F15" si="34">SUM(F16:F18)</f>
        <v>0</v>
      </c>
      <c r="G15" s="258">
        <f>E15/Q15</f>
        <v>0.46754908386328087</v>
      </c>
      <c r="H15" s="259">
        <f t="shared" si="0"/>
        <v>4.3057883232642619E-2</v>
      </c>
      <c r="I15" s="256">
        <f t="shared" ref="I15" si="35">SUM(I16:I18)</f>
        <v>0</v>
      </c>
      <c r="J15" s="257">
        <f t="shared" ref="J15" si="36">SUM(J16:J18)</f>
        <v>0</v>
      </c>
      <c r="K15" s="257">
        <f t="shared" ref="K15" si="37">SUM(K16:K18)</f>
        <v>1313612.76</v>
      </c>
      <c r="L15" s="257">
        <f t="shared" ref="L15" si="38">SUM(L16:L18)</f>
        <v>1658212.6</v>
      </c>
      <c r="M15" s="257">
        <f>SUM(M16:M18)</f>
        <v>2971825.3600000003</v>
      </c>
      <c r="N15" s="260">
        <f t="shared" si="2"/>
        <v>0</v>
      </c>
      <c r="O15" s="261">
        <f>M15/Q15</f>
        <v>5.2435001919494981</v>
      </c>
      <c r="P15" s="262">
        <f t="shared" si="3"/>
        <v>0.48288837854149391</v>
      </c>
      <c r="Q15" s="195">
        <f>SUM(Q16:Q18)</f>
        <v>566763.66</v>
      </c>
      <c r="R15" s="196">
        <f t="shared" ref="R15:S15" si="39">SUM(R16:R18)</f>
        <v>0</v>
      </c>
      <c r="S15" s="197">
        <f t="shared" si="39"/>
        <v>6154269.79</v>
      </c>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row>
    <row r="16" spans="1:71" x14ac:dyDescent="0.35">
      <c r="A16" s="292" t="s">
        <v>361</v>
      </c>
      <c r="B16" s="263">
        <v>15571.41</v>
      </c>
      <c r="C16" s="264">
        <v>72800.320000000007</v>
      </c>
      <c r="D16" s="264">
        <v>72800.320000000007</v>
      </c>
      <c r="E16" s="264">
        <f>SUM(B16+D16)</f>
        <v>88371.73000000001</v>
      </c>
      <c r="F16" s="264">
        <f t="shared" si="12"/>
        <v>0</v>
      </c>
      <c r="G16" s="265">
        <f>E16/Q16</f>
        <v>0.41765438790585047</v>
      </c>
      <c r="H16" s="266">
        <f>E16/S16</f>
        <v>0.11491847151151829</v>
      </c>
      <c r="I16" s="263">
        <v>0</v>
      </c>
      <c r="J16" s="264">
        <v>0</v>
      </c>
      <c r="K16" s="264">
        <v>658066.43999999994</v>
      </c>
      <c r="L16" s="264">
        <v>207999.48</v>
      </c>
      <c r="M16" s="264">
        <f>SUM(I16:L16)</f>
        <v>866065.91999999993</v>
      </c>
      <c r="N16" s="267">
        <f>(I16+J16)/M16</f>
        <v>0</v>
      </c>
      <c r="O16" s="268">
        <f t="shared" ref="O16" si="40">M16/Q16</f>
        <v>4.0931215412860782</v>
      </c>
      <c r="P16" s="269">
        <f t="shared" si="3"/>
        <v>1.1262308857664873</v>
      </c>
      <c r="Q16" s="209">
        <v>211590.57</v>
      </c>
      <c r="R16" s="207">
        <v>0</v>
      </c>
      <c r="S16" s="208">
        <v>768995</v>
      </c>
    </row>
    <row r="17" spans="1:71" x14ac:dyDescent="0.35">
      <c r="A17" s="292" t="s">
        <v>362</v>
      </c>
      <c r="B17" s="263">
        <v>9523.59</v>
      </c>
      <c r="C17" s="264">
        <v>29363.79</v>
      </c>
      <c r="D17" s="264">
        <v>29363.79</v>
      </c>
      <c r="E17" s="264">
        <f>SUM(B17+D17)</f>
        <v>38887.380000000005</v>
      </c>
      <c r="F17" s="264">
        <f t="shared" si="12"/>
        <v>0</v>
      </c>
      <c r="G17" s="265">
        <f>E17/Q17</f>
        <v>0.85162244019736033</v>
      </c>
      <c r="H17" s="266">
        <f>E17/S17</f>
        <v>1.7966662033244086E-2</v>
      </c>
      <c r="I17" s="263">
        <v>0</v>
      </c>
      <c r="J17" s="264">
        <v>0</v>
      </c>
      <c r="K17" s="264">
        <v>265429.08</v>
      </c>
      <c r="L17" s="264">
        <v>116615.85</v>
      </c>
      <c r="M17" s="264">
        <f>SUM(I17:L17)</f>
        <v>382044.93000000005</v>
      </c>
      <c r="N17" s="267">
        <f>(I17+J17)/M17</f>
        <v>0</v>
      </c>
      <c r="O17" s="268">
        <f t="shared" ref="O17" si="41">M17/Q17</f>
        <v>8.3666741125689033</v>
      </c>
      <c r="P17" s="269">
        <f t="shared" ref="P17" si="42">M17/S17</f>
        <v>0.17651156078975735</v>
      </c>
      <c r="Q17" s="209">
        <v>45662.7</v>
      </c>
      <c r="R17" s="207">
        <v>0</v>
      </c>
      <c r="S17" s="208">
        <v>2164418.7400000002</v>
      </c>
    </row>
    <row r="18" spans="1:71" x14ac:dyDescent="0.35">
      <c r="A18" s="292" t="s">
        <v>363</v>
      </c>
      <c r="B18" s="263">
        <v>94572.98</v>
      </c>
      <c r="C18" s="264">
        <v>43157.74</v>
      </c>
      <c r="D18" s="264">
        <v>43157.74</v>
      </c>
      <c r="E18" s="264">
        <f>SUM(B18+D18)</f>
        <v>137730.72</v>
      </c>
      <c r="F18" s="264">
        <f t="shared" si="12"/>
        <v>0</v>
      </c>
      <c r="G18" s="265">
        <f>E18/Q18</f>
        <v>0.4449954652572406</v>
      </c>
      <c r="H18" s="266">
        <f>E18/S18</f>
        <v>4.2762147038517911E-2</v>
      </c>
      <c r="I18" s="263">
        <v>0</v>
      </c>
      <c r="J18" s="264">
        <v>0</v>
      </c>
      <c r="K18" s="264">
        <v>390117.24</v>
      </c>
      <c r="L18" s="264">
        <f>1329833.37+3763.9</f>
        <v>1333597.27</v>
      </c>
      <c r="M18" s="264">
        <f>SUM(I18:L18)</f>
        <v>1723714.51</v>
      </c>
      <c r="N18" s="267">
        <f>(I18+J18)/M18</f>
        <v>0</v>
      </c>
      <c r="O18" s="268">
        <f t="shared" ref="O18" si="43">M18/Q18</f>
        <v>5.5691652548400716</v>
      </c>
      <c r="P18" s="269">
        <f t="shared" ref="P18" si="44">M18/S18</f>
        <v>0.53517278737123319</v>
      </c>
      <c r="Q18" s="209">
        <v>309510.39</v>
      </c>
      <c r="R18" s="207">
        <v>0</v>
      </c>
      <c r="S18" s="208">
        <v>3220856.05</v>
      </c>
    </row>
    <row r="19" spans="1:71" s="199" customFormat="1" x14ac:dyDescent="0.35">
      <c r="A19" s="291" t="s">
        <v>364</v>
      </c>
      <c r="B19" s="256">
        <f>B20</f>
        <v>210362.42</v>
      </c>
      <c r="C19" s="257">
        <f t="shared" ref="C19:D19" si="45">C20</f>
        <v>57492.6</v>
      </c>
      <c r="D19" s="257">
        <f t="shared" si="45"/>
        <v>57492.6</v>
      </c>
      <c r="E19" s="257">
        <f>E20</f>
        <v>267855.02</v>
      </c>
      <c r="F19" s="257">
        <f t="shared" ref="F19" si="46">F20</f>
        <v>0</v>
      </c>
      <c r="G19" s="409">
        <f>(E19/R19)*1000</f>
        <v>1.1063824435617553</v>
      </c>
      <c r="H19" s="259">
        <f t="shared" si="0"/>
        <v>1.0417977012579764E-2</v>
      </c>
      <c r="I19" s="256">
        <f t="shared" ref="I19:K19" si="47">I20</f>
        <v>0</v>
      </c>
      <c r="J19" s="257">
        <f t="shared" si="47"/>
        <v>0</v>
      </c>
      <c r="K19" s="257">
        <f t="shared" si="47"/>
        <v>1304718.51</v>
      </c>
      <c r="L19" s="257">
        <f>L20</f>
        <v>2939225.2</v>
      </c>
      <c r="M19" s="257">
        <f>M20</f>
        <v>4243943.71</v>
      </c>
      <c r="N19" s="260">
        <f t="shared" si="2"/>
        <v>0</v>
      </c>
      <c r="O19" s="407">
        <f>O20</f>
        <v>17.52972489449084</v>
      </c>
      <c r="P19" s="262">
        <f t="shared" si="3"/>
        <v>0.16506432477338853</v>
      </c>
      <c r="Q19" s="195">
        <f>Q20</f>
        <v>0</v>
      </c>
      <c r="R19" s="196">
        <f t="shared" ref="R19:S19" si="48">R20</f>
        <v>242099846.72</v>
      </c>
      <c r="S19" s="197">
        <f t="shared" si="48"/>
        <v>25710847.670000002</v>
      </c>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row>
    <row r="20" spans="1:71" x14ac:dyDescent="0.35">
      <c r="A20" s="292" t="s">
        <v>365</v>
      </c>
      <c r="B20" s="263">
        <v>210362.42</v>
      </c>
      <c r="C20" s="264">
        <v>57492.6</v>
      </c>
      <c r="D20" s="264">
        <v>57492.6</v>
      </c>
      <c r="E20" s="264">
        <f>SUM(B20+D20)</f>
        <v>267855.02</v>
      </c>
      <c r="F20" s="264">
        <f t="shared" si="12"/>
        <v>0</v>
      </c>
      <c r="G20" s="410">
        <f>(E20/R20)*1000</f>
        <v>1.1063824435617553</v>
      </c>
      <c r="H20" s="266">
        <f>E20/S20</f>
        <v>1.0417977012579764E-2</v>
      </c>
      <c r="I20" s="263">
        <v>0</v>
      </c>
      <c r="J20" s="264">
        <v>0</v>
      </c>
      <c r="K20" s="264">
        <v>1304718.51</v>
      </c>
      <c r="L20" s="264">
        <f>2808276.93+130948.27</f>
        <v>2939225.2</v>
      </c>
      <c r="M20" s="264">
        <f>SUM(I20:L20)</f>
        <v>4243943.71</v>
      </c>
      <c r="N20" s="267">
        <f>(I20+J20)/M20</f>
        <v>0</v>
      </c>
      <c r="O20" s="406">
        <f>(M20/R20)*1000</f>
        <v>17.52972489449084</v>
      </c>
      <c r="P20" s="269">
        <f t="shared" si="3"/>
        <v>0.16506432477338853</v>
      </c>
      <c r="Q20" s="209">
        <v>0</v>
      </c>
      <c r="R20" s="207">
        <v>242099846.72</v>
      </c>
      <c r="S20" s="208">
        <v>25710847.670000002</v>
      </c>
    </row>
    <row r="21" spans="1:71" s="176" customFormat="1" x14ac:dyDescent="0.35">
      <c r="A21" s="272" t="s">
        <v>366</v>
      </c>
      <c r="B21" s="210">
        <f>B22+B25+B27+B30</f>
        <v>2466055.36</v>
      </c>
      <c r="C21" s="210">
        <f t="shared" ref="C21:D21" si="49">C22+C25+C27+C30</f>
        <v>100011.08</v>
      </c>
      <c r="D21" s="210">
        <f t="shared" si="49"/>
        <v>100011.08</v>
      </c>
      <c r="E21" s="210">
        <f>E22+E25+E27+E30</f>
        <v>2566066.44</v>
      </c>
      <c r="F21" s="211">
        <f>F22+F25+F27+F30</f>
        <v>0</v>
      </c>
      <c r="G21" s="180">
        <f t="shared" ref="G21:G33" si="50">E21/Q21</f>
        <v>2.1378632666556374</v>
      </c>
      <c r="H21" s="181">
        <f t="shared" si="0"/>
        <v>8.1877223752228737E-2</v>
      </c>
      <c r="I21" s="210">
        <f>I22+I25+I27+I30</f>
        <v>5366.57</v>
      </c>
      <c r="J21" s="210">
        <f t="shared" ref="J21:M21" si="51">J22+J25+J27+J30</f>
        <v>51014.6</v>
      </c>
      <c r="K21" s="210">
        <f t="shared" si="51"/>
        <v>821626.73</v>
      </c>
      <c r="L21" s="210">
        <f t="shared" si="51"/>
        <v>20251922.739999998</v>
      </c>
      <c r="M21" s="210">
        <f t="shared" si="51"/>
        <v>21129930.639999997</v>
      </c>
      <c r="N21" s="182">
        <f>(I21+J21)/M21</f>
        <v>2.6683083328852804E-3</v>
      </c>
      <c r="O21" s="183">
        <f>M21/Q21</f>
        <v>17.603948922786831</v>
      </c>
      <c r="P21" s="184">
        <f>M21/S21</f>
        <v>0.6742070399706227</v>
      </c>
      <c r="Q21" s="172">
        <f>Q22+Q25+Q27+Q30</f>
        <v>1200294.9300000002</v>
      </c>
      <c r="R21" s="104">
        <f>R22+R25+R27+R30</f>
        <v>0</v>
      </c>
      <c r="S21" s="114">
        <f>S22+S25+S27+S30</f>
        <v>31340418.280000001</v>
      </c>
    </row>
    <row r="22" spans="1:71" s="199" customFormat="1" x14ac:dyDescent="0.35">
      <c r="A22" s="291" t="s">
        <v>367</v>
      </c>
      <c r="B22" s="188">
        <f>SUM(B23:B23)</f>
        <v>286444.06</v>
      </c>
      <c r="C22" s="189">
        <f>SUM(C23:C23)</f>
        <v>0</v>
      </c>
      <c r="D22" s="189">
        <f>SUM(D23:D23)</f>
        <v>0</v>
      </c>
      <c r="E22" s="189">
        <f>SUM(E23:E23)</f>
        <v>286444.06</v>
      </c>
      <c r="F22" s="189">
        <f>SUM(F23:F23)</f>
        <v>0</v>
      </c>
      <c r="G22" s="190">
        <f t="shared" si="50"/>
        <v>0.83257626761675052</v>
      </c>
      <c r="H22" s="191">
        <f t="shared" si="0"/>
        <v>1.2885806088101694E-2</v>
      </c>
      <c r="I22" s="188">
        <f>SUM(I23:I23)</f>
        <v>5366.57</v>
      </c>
      <c r="J22" s="189">
        <f>SUM(J23:J23)</f>
        <v>0</v>
      </c>
      <c r="K22" s="189">
        <f>SUM(K23:K23)</f>
        <v>0</v>
      </c>
      <c r="L22" s="189">
        <f>SUM(L23:L23)</f>
        <v>4120846.4099999997</v>
      </c>
      <c r="M22" s="189">
        <f>SUM(M23:M23)</f>
        <v>4126212.9799999995</v>
      </c>
      <c r="N22" s="192">
        <f t="shared" si="2"/>
        <v>1.3006042165084751E-3</v>
      </c>
      <c r="O22" s="193">
        <f t="shared" ref="O22:O48" si="52">M22/Q22</f>
        <v>11.993221302198375</v>
      </c>
      <c r="P22" s="194">
        <f t="shared" si="3"/>
        <v>0.18561942020542591</v>
      </c>
      <c r="Q22" s="195">
        <f>SUM(Q23:Q23)</f>
        <v>344045.43</v>
      </c>
      <c r="R22" s="196">
        <f>SUM(R23:R23)</f>
        <v>0</v>
      </c>
      <c r="S22" s="197">
        <f>SUM(S23:S23)</f>
        <v>22229425</v>
      </c>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row>
    <row r="23" spans="1:71" x14ac:dyDescent="0.35">
      <c r="A23" s="292" t="s">
        <v>368</v>
      </c>
      <c r="B23" s="263">
        <v>286444.06</v>
      </c>
      <c r="C23" s="264">
        <v>0</v>
      </c>
      <c r="D23" s="264">
        <v>0</v>
      </c>
      <c r="E23" s="264">
        <f>SUM(B23+D23)</f>
        <v>286444.06</v>
      </c>
      <c r="F23" s="264">
        <f>ROUND(F79, -3)</f>
        <v>0</v>
      </c>
      <c r="G23" s="265">
        <f>E23/Q23</f>
        <v>0.83257626761675052</v>
      </c>
      <c r="H23" s="266">
        <f>E23/S23</f>
        <v>1.2885806088101694E-2</v>
      </c>
      <c r="I23" s="263">
        <v>5366.57</v>
      </c>
      <c r="J23" s="264">
        <v>0</v>
      </c>
      <c r="K23" s="264"/>
      <c r="L23" s="264">
        <f>4005606.21+69363.01+45877.19</f>
        <v>4120846.4099999997</v>
      </c>
      <c r="M23" s="264">
        <f>SUM(I23:L23)</f>
        <v>4126212.9799999995</v>
      </c>
      <c r="N23" s="267">
        <f>(I23+J23)/M23</f>
        <v>1.3006042165084751E-3</v>
      </c>
      <c r="O23" s="268">
        <f t="shared" si="52"/>
        <v>11.993221302198375</v>
      </c>
      <c r="P23" s="269">
        <f t="shared" ref="P23" si="53">M23/S23</f>
        <v>0.18561942020542591</v>
      </c>
      <c r="Q23" s="209">
        <v>344045.43</v>
      </c>
      <c r="R23" s="207">
        <v>0</v>
      </c>
      <c r="S23" s="208">
        <v>22229425</v>
      </c>
    </row>
    <row r="24" spans="1:71" hidden="1" x14ac:dyDescent="0.35">
      <c r="A24" s="293" t="s">
        <v>373</v>
      </c>
      <c r="B24" s="200">
        <v>0</v>
      </c>
      <c r="C24" s="201">
        <v>0</v>
      </c>
      <c r="D24" s="201">
        <v>0</v>
      </c>
      <c r="E24" s="264">
        <f t="shared" ref="E24" si="54">SUM(B24+D24)</f>
        <v>0</v>
      </c>
      <c r="F24" s="201"/>
      <c r="G24" s="202" t="e">
        <f t="shared" si="50"/>
        <v>#DIV/0!</v>
      </c>
      <c r="H24" s="203" t="e">
        <f t="shared" si="0"/>
        <v>#DIV/0!</v>
      </c>
      <c r="I24" s="200">
        <v>0</v>
      </c>
      <c r="J24" s="201">
        <v>0</v>
      </c>
      <c r="K24" s="201">
        <v>0</v>
      </c>
      <c r="L24" s="201">
        <v>0</v>
      </c>
      <c r="M24" s="201">
        <v>0</v>
      </c>
      <c r="N24" s="204" t="e">
        <f t="shared" si="2"/>
        <v>#DIV/0!</v>
      </c>
      <c r="O24" s="205" t="e">
        <f t="shared" si="52"/>
        <v>#DIV/0!</v>
      </c>
      <c r="P24" s="206" t="e">
        <f t="shared" si="3"/>
        <v>#DIV/0!</v>
      </c>
      <c r="Q24" s="175"/>
      <c r="R24" s="107"/>
      <c r="S24" s="113"/>
    </row>
    <row r="25" spans="1:71" s="199" customFormat="1" x14ac:dyDescent="0.35">
      <c r="A25" s="291" t="s">
        <v>374</v>
      </c>
      <c r="B25" s="188">
        <f>B26</f>
        <v>2128592.98</v>
      </c>
      <c r="C25" s="189">
        <f t="shared" ref="C25:D25" si="55">C26</f>
        <v>84641.919999999998</v>
      </c>
      <c r="D25" s="189">
        <f t="shared" si="55"/>
        <v>84641.919999999998</v>
      </c>
      <c r="E25" s="189">
        <f>E26</f>
        <v>2213234.9</v>
      </c>
      <c r="F25" s="189">
        <f t="shared" ref="F25" si="56">F26</f>
        <v>0</v>
      </c>
      <c r="G25" s="190">
        <f t="shared" si="50"/>
        <v>2.7203156352174234</v>
      </c>
      <c r="H25" s="191">
        <f t="shared" si="0"/>
        <v>0.24291916720632242</v>
      </c>
      <c r="I25" s="256">
        <f t="shared" ref="I25:K25" si="57">I26</f>
        <v>0</v>
      </c>
      <c r="J25" s="257">
        <f t="shared" si="57"/>
        <v>0</v>
      </c>
      <c r="K25" s="257">
        <f t="shared" si="57"/>
        <v>517273.02</v>
      </c>
      <c r="L25" s="257">
        <f>L26</f>
        <v>15551443.24</v>
      </c>
      <c r="M25" s="257">
        <f>M26</f>
        <v>16068716.26</v>
      </c>
      <c r="N25" s="192">
        <f t="shared" si="2"/>
        <v>0</v>
      </c>
      <c r="O25" s="193">
        <f t="shared" si="52"/>
        <v>19.750266941819163</v>
      </c>
      <c r="P25" s="194">
        <f t="shared" si="3"/>
        <v>1.7636623983987836</v>
      </c>
      <c r="Q25" s="195">
        <f>Q26</f>
        <v>813594.89</v>
      </c>
      <c r="R25" s="196">
        <f t="shared" ref="R25:S25" si="58">R26</f>
        <v>0</v>
      </c>
      <c r="S25" s="197">
        <f t="shared" si="58"/>
        <v>9110993.2799999993</v>
      </c>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row>
    <row r="26" spans="1:71" x14ac:dyDescent="0.35">
      <c r="A26" s="292" t="s">
        <v>375</v>
      </c>
      <c r="B26" s="263">
        <v>2128592.98</v>
      </c>
      <c r="C26" s="264">
        <v>84641.919999999998</v>
      </c>
      <c r="D26" s="264">
        <v>84641.919999999998</v>
      </c>
      <c r="E26" s="264">
        <f>SUM(B26+D26)</f>
        <v>2213234.9</v>
      </c>
      <c r="F26" s="264">
        <f t="shared" ref="F26:F31" si="59">ROUND(F85, -3)</f>
        <v>0</v>
      </c>
      <c r="G26" s="265">
        <f>E26/Q26</f>
        <v>2.7203156352174234</v>
      </c>
      <c r="H26" s="266">
        <f>E26/S26</f>
        <v>0.24291916720632242</v>
      </c>
      <c r="I26" s="263">
        <v>0</v>
      </c>
      <c r="J26" s="264">
        <v>0</v>
      </c>
      <c r="K26" s="264">
        <v>517273.02</v>
      </c>
      <c r="L26" s="264">
        <f>16068716.26-517273.02</f>
        <v>15551443.24</v>
      </c>
      <c r="M26" s="264">
        <f>SUM(I26:L26)</f>
        <v>16068716.26</v>
      </c>
      <c r="N26" s="267">
        <f>(I26+J26)/M26</f>
        <v>0</v>
      </c>
      <c r="O26" s="268">
        <f t="shared" ref="O26" si="60">M26/Q26</f>
        <v>19.750266941819163</v>
      </c>
      <c r="P26" s="269">
        <f t="shared" ref="P26" si="61">M26/S26</f>
        <v>1.7636623983987836</v>
      </c>
      <c r="Q26" s="209">
        <v>813594.89</v>
      </c>
      <c r="R26" s="207">
        <v>0</v>
      </c>
      <c r="S26" s="208">
        <v>9110993.2799999993</v>
      </c>
    </row>
    <row r="27" spans="1:71" s="199" customFormat="1" x14ac:dyDescent="0.35">
      <c r="A27" s="291" t="s">
        <v>376</v>
      </c>
      <c r="B27" s="188">
        <f>SUM(B28:B29)</f>
        <v>11703.759999999998</v>
      </c>
      <c r="C27" s="189">
        <f t="shared" ref="C27:D27" si="62">SUM(C28:C29)</f>
        <v>15369.16</v>
      </c>
      <c r="D27" s="189">
        <f t="shared" si="62"/>
        <v>15369.16</v>
      </c>
      <c r="E27" s="189">
        <f>SUM(E28:E29)</f>
        <v>27072.92</v>
      </c>
      <c r="F27" s="189">
        <f t="shared" ref="F27" si="63">SUM(F28:F29)</f>
        <v>0</v>
      </c>
      <c r="G27" s="190">
        <f t="shared" si="50"/>
        <v>0.6347009150945232</v>
      </c>
      <c r="H27" s="191" t="s">
        <v>505</v>
      </c>
      <c r="I27" s="188">
        <f t="shared" ref="I27:L27" si="64">SUM(I28:I29)</f>
        <v>0</v>
      </c>
      <c r="J27" s="189">
        <f t="shared" si="64"/>
        <v>51014.6</v>
      </c>
      <c r="K27" s="189">
        <f t="shared" si="64"/>
        <v>304353.71000000002</v>
      </c>
      <c r="L27" s="189">
        <f t="shared" si="64"/>
        <v>15918.229999999996</v>
      </c>
      <c r="M27" s="189">
        <f>SUM(M28:M29)</f>
        <v>371286.54</v>
      </c>
      <c r="N27" s="192">
        <f t="shared" si="2"/>
        <v>0.13739954052737813</v>
      </c>
      <c r="O27" s="193">
        <f t="shared" si="52"/>
        <v>8.7044879791422307</v>
      </c>
      <c r="P27" s="194" t="s">
        <v>505</v>
      </c>
      <c r="Q27" s="195">
        <f>SUM(Q28:Q29)</f>
        <v>42654.61</v>
      </c>
      <c r="R27" s="196">
        <f t="shared" ref="R27:S27" si="65">SUM(R28:R29)</f>
        <v>0</v>
      </c>
      <c r="S27" s="197">
        <f t="shared" si="65"/>
        <v>0</v>
      </c>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row>
    <row r="28" spans="1:71" x14ac:dyDescent="0.35">
      <c r="A28" s="292" t="s">
        <v>377</v>
      </c>
      <c r="B28" s="263">
        <v>5569.57</v>
      </c>
      <c r="C28" s="264">
        <v>5945.6</v>
      </c>
      <c r="D28" s="264">
        <v>5945.6</v>
      </c>
      <c r="E28" s="264">
        <f>SUM(B28+D28)</f>
        <v>11515.17</v>
      </c>
      <c r="F28" s="264">
        <f t="shared" si="59"/>
        <v>0</v>
      </c>
      <c r="G28" s="265">
        <f>E28/Q28</f>
        <v>0.73174214334054577</v>
      </c>
      <c r="H28" s="266" t="s">
        <v>505</v>
      </c>
      <c r="I28" s="263">
        <v>0</v>
      </c>
      <c r="J28" s="264">
        <v>0</v>
      </c>
      <c r="K28" s="264">
        <v>117740.11</v>
      </c>
      <c r="L28" s="264">
        <f>130439.73-117740.11</f>
        <v>12699.619999999995</v>
      </c>
      <c r="M28" s="264">
        <f>SUM(I28:L28)</f>
        <v>130439.73</v>
      </c>
      <c r="N28" s="267">
        <f>(I28+J28)/M28</f>
        <v>0</v>
      </c>
      <c r="O28" s="268">
        <f t="shared" si="52"/>
        <v>8.288913459980364</v>
      </c>
      <c r="P28" s="269" t="s">
        <v>505</v>
      </c>
      <c r="Q28" s="209">
        <v>15736.65</v>
      </c>
      <c r="R28" s="207">
        <v>0</v>
      </c>
      <c r="S28" s="208">
        <v>0</v>
      </c>
    </row>
    <row r="29" spans="1:71" x14ac:dyDescent="0.35">
      <c r="A29" s="292" t="s">
        <v>378</v>
      </c>
      <c r="B29" s="263">
        <v>6134.19</v>
      </c>
      <c r="C29" s="264">
        <v>9423.56</v>
      </c>
      <c r="D29" s="264">
        <v>9423.56</v>
      </c>
      <c r="E29" s="264">
        <f>SUM(B29+D29)</f>
        <v>15557.75</v>
      </c>
      <c r="F29" s="264">
        <f t="shared" si="59"/>
        <v>0</v>
      </c>
      <c r="G29" s="265">
        <f>E29/Q29</f>
        <v>0.57796913287633978</v>
      </c>
      <c r="H29" s="266" t="s">
        <v>505</v>
      </c>
      <c r="I29" s="263">
        <v>0</v>
      </c>
      <c r="J29" s="264">
        <v>51014.6</v>
      </c>
      <c r="K29" s="264">
        <v>186613.6</v>
      </c>
      <c r="L29" s="264">
        <f>1044.36+266.27+1907.98</f>
        <v>3218.6099999999997</v>
      </c>
      <c r="M29" s="264">
        <f>SUM(I29:L29)</f>
        <v>240846.81</v>
      </c>
      <c r="N29" s="267">
        <f>(I29+J29)/M29</f>
        <v>0.21181347596009265</v>
      </c>
      <c r="O29" s="268">
        <f t="shared" ref="O29" si="66">M29/Q29</f>
        <v>8.947439181869651</v>
      </c>
      <c r="P29" s="269" t="s">
        <v>505</v>
      </c>
      <c r="Q29" s="209">
        <v>26917.96</v>
      </c>
      <c r="R29" s="207">
        <v>0</v>
      </c>
      <c r="S29" s="208">
        <v>0</v>
      </c>
    </row>
    <row r="30" spans="1:71" s="199" customFormat="1" x14ac:dyDescent="0.35">
      <c r="A30" s="291" t="s">
        <v>379</v>
      </c>
      <c r="B30" s="188">
        <f>B31</f>
        <v>39314.559999999998</v>
      </c>
      <c r="C30" s="189">
        <f t="shared" ref="C30:D30" si="67">C31</f>
        <v>0</v>
      </c>
      <c r="D30" s="189">
        <f t="shared" si="67"/>
        <v>0</v>
      </c>
      <c r="E30" s="189">
        <f>E31</f>
        <v>39314.559999999998</v>
      </c>
      <c r="F30" s="189">
        <f t="shared" ref="F30" si="68">F31</f>
        <v>0</v>
      </c>
      <c r="G30" s="256" t="s">
        <v>505</v>
      </c>
      <c r="H30" s="256" t="s">
        <v>505</v>
      </c>
      <c r="I30" s="256">
        <f t="shared" ref="I30:K30" si="69">I31</f>
        <v>0</v>
      </c>
      <c r="J30" s="257">
        <f t="shared" si="69"/>
        <v>0</v>
      </c>
      <c r="K30" s="257">
        <f t="shared" si="69"/>
        <v>0</v>
      </c>
      <c r="L30" s="257">
        <f>L31</f>
        <v>563714.86</v>
      </c>
      <c r="M30" s="257">
        <f>M31</f>
        <v>563714.86</v>
      </c>
      <c r="N30" s="192">
        <f t="shared" si="2"/>
        <v>0</v>
      </c>
      <c r="O30" s="193" t="e">
        <f t="shared" si="52"/>
        <v>#DIV/0!</v>
      </c>
      <c r="P30" s="194" t="e">
        <f t="shared" si="3"/>
        <v>#DIV/0!</v>
      </c>
      <c r="Q30" s="195">
        <f>Q31</f>
        <v>0</v>
      </c>
      <c r="R30" s="196">
        <f t="shared" ref="R30:S30" si="70">R31</f>
        <v>0</v>
      </c>
      <c r="S30" s="197">
        <f t="shared" si="70"/>
        <v>0</v>
      </c>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row>
    <row r="31" spans="1:71" x14ac:dyDescent="0.35">
      <c r="A31" s="292" t="s">
        <v>380</v>
      </c>
      <c r="B31" s="263">
        <v>39314.559999999998</v>
      </c>
      <c r="C31" s="264">
        <v>0</v>
      </c>
      <c r="D31" s="264">
        <v>0</v>
      </c>
      <c r="E31" s="264">
        <f>SUM(B31+D31)</f>
        <v>39314.559999999998</v>
      </c>
      <c r="F31" s="264">
        <f t="shared" si="59"/>
        <v>0</v>
      </c>
      <c r="G31" s="266" t="s">
        <v>505</v>
      </c>
      <c r="H31" s="266" t="s">
        <v>505</v>
      </c>
      <c r="I31" s="263">
        <v>0</v>
      </c>
      <c r="J31" s="264">
        <v>0</v>
      </c>
      <c r="K31" s="264"/>
      <c r="L31" s="264">
        <v>563714.86</v>
      </c>
      <c r="M31" s="264">
        <f>SUM(I31:L31)</f>
        <v>563714.86</v>
      </c>
      <c r="N31" s="267">
        <f>(I31+J31)/M31</f>
        <v>0</v>
      </c>
      <c r="O31" s="268" t="e">
        <f t="shared" si="52"/>
        <v>#DIV/0!</v>
      </c>
      <c r="P31" s="269" t="e">
        <f t="shared" si="3"/>
        <v>#DIV/0!</v>
      </c>
      <c r="Q31" s="209">
        <v>0</v>
      </c>
      <c r="R31" s="207">
        <v>0</v>
      </c>
      <c r="S31" s="208">
        <v>0</v>
      </c>
    </row>
    <row r="32" spans="1:71" s="176" customFormat="1" x14ac:dyDescent="0.35">
      <c r="A32" s="272" t="s">
        <v>381</v>
      </c>
      <c r="B32" s="210">
        <f>B33+B39</f>
        <v>2700894.4899999998</v>
      </c>
      <c r="C32" s="211">
        <f>C33+C39</f>
        <v>814840.16999999993</v>
      </c>
      <c r="D32" s="211">
        <f>D33+D39</f>
        <v>519549.66999999993</v>
      </c>
      <c r="E32" s="211">
        <f>E33+E39</f>
        <v>3220444.1600000006</v>
      </c>
      <c r="F32" s="211">
        <f>F33+F39</f>
        <v>0</v>
      </c>
      <c r="G32" s="180">
        <f t="shared" si="50"/>
        <v>0.93019570796301376</v>
      </c>
      <c r="H32" s="181">
        <f t="shared" si="0"/>
        <v>4.009636741154575E-2</v>
      </c>
      <c r="I32" s="210">
        <f>I33+I39</f>
        <v>7952.13</v>
      </c>
      <c r="J32" s="211">
        <f>J33+J39</f>
        <v>15100.32</v>
      </c>
      <c r="K32" s="211">
        <f>K33+K39</f>
        <v>11483956.48</v>
      </c>
      <c r="L32" s="211">
        <f>L33+L39</f>
        <v>32636187.250000004</v>
      </c>
      <c r="M32" s="211">
        <f>M33+M39</f>
        <v>44143196.18</v>
      </c>
      <c r="N32" s="182">
        <f t="shared" si="2"/>
        <v>5.2221977552328652E-4</v>
      </c>
      <c r="O32" s="183">
        <f t="shared" si="52"/>
        <v>12.750356653414322</v>
      </c>
      <c r="P32" s="184">
        <f t="shared" si="3"/>
        <v>0.54960798101626529</v>
      </c>
      <c r="Q32" s="172">
        <f>Q33+Q39</f>
        <v>3462114.62</v>
      </c>
      <c r="R32" s="104">
        <f>R33+R39</f>
        <v>37888350.950000003</v>
      </c>
      <c r="S32" s="114">
        <f>S33+S39</f>
        <v>80317604.010000005</v>
      </c>
    </row>
    <row r="33" spans="1:71" s="199" customFormat="1" x14ac:dyDescent="0.35">
      <c r="A33" s="291" t="s">
        <v>382</v>
      </c>
      <c r="B33" s="188">
        <f>SUM(B34:B35)</f>
        <v>20560.669999999998</v>
      </c>
      <c r="C33" s="189">
        <f t="shared" ref="C33:D33" si="71">SUM(C34:C35)</f>
        <v>5410.22</v>
      </c>
      <c r="D33" s="189">
        <f t="shared" si="71"/>
        <v>5410.22</v>
      </c>
      <c r="E33" s="189">
        <f>SUM(E34:E35)</f>
        <v>25970.89</v>
      </c>
      <c r="F33" s="189">
        <f t="shared" ref="F33" si="72">SUM(F34:F35)</f>
        <v>0</v>
      </c>
      <c r="G33" s="190">
        <f t="shared" si="50"/>
        <v>0.17303083401068664</v>
      </c>
      <c r="H33" s="191">
        <f t="shared" si="0"/>
        <v>1.6972463334331039E-2</v>
      </c>
      <c r="I33" s="188">
        <f t="shared" ref="I33" si="73">SUM(I34:I35)</f>
        <v>0</v>
      </c>
      <c r="J33" s="189">
        <f t="shared" ref="J33" si="74">SUM(J34:J35)</f>
        <v>0</v>
      </c>
      <c r="K33" s="189">
        <f t="shared" ref="K33" si="75">SUM(K34:K35)</f>
        <v>649226.74</v>
      </c>
      <c r="L33" s="189">
        <f>SUM(L34:L35)</f>
        <v>320050.69000000006</v>
      </c>
      <c r="M33" s="189">
        <f>SUM(M34:M35)</f>
        <v>969277.43</v>
      </c>
      <c r="N33" s="192">
        <f t="shared" si="2"/>
        <v>0</v>
      </c>
      <c r="O33" s="193">
        <f t="shared" si="52"/>
        <v>6.4578026436766294</v>
      </c>
      <c r="P33" s="194">
        <f t="shared" si="3"/>
        <v>0.63344096569157315</v>
      </c>
      <c r="Q33" s="174">
        <f>Q34+Q35</f>
        <v>150094</v>
      </c>
      <c r="R33" s="108">
        <f t="shared" ref="R33:S33" si="76">R34+R35</f>
        <v>0</v>
      </c>
      <c r="S33" s="111">
        <f t="shared" si="76"/>
        <v>1530178</v>
      </c>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row>
    <row r="34" spans="1:71" x14ac:dyDescent="0.35">
      <c r="A34" s="292" t="s">
        <v>383</v>
      </c>
      <c r="B34" s="263">
        <v>20560.669999999998</v>
      </c>
      <c r="C34" s="264">
        <v>5410.22</v>
      </c>
      <c r="D34" s="264">
        <v>5410.22</v>
      </c>
      <c r="E34" s="264">
        <f>SUM(B34+D34)</f>
        <v>25970.89</v>
      </c>
      <c r="F34" s="264">
        <f t="shared" ref="F34" si="77">ROUND(F93, -3)</f>
        <v>0</v>
      </c>
      <c r="G34" s="265">
        <f>E34/Q34</f>
        <v>0.17303083401068664</v>
      </c>
      <c r="H34" s="266">
        <f>E34/S34</f>
        <v>1.6972463334331039E-2</v>
      </c>
      <c r="I34" s="263">
        <v>0</v>
      </c>
      <c r="J34" s="264">
        <v>0</v>
      </c>
      <c r="K34" s="264">
        <v>649226.74</v>
      </c>
      <c r="L34" s="264">
        <f>969277.43-649226.74</f>
        <v>320050.69000000006</v>
      </c>
      <c r="M34" s="264">
        <f>SUM(I34:L34)</f>
        <v>969277.43</v>
      </c>
      <c r="N34" s="267">
        <f>(I34+J34)/M34</f>
        <v>0</v>
      </c>
      <c r="O34" s="268">
        <f t="shared" ref="O34" si="78">M34/Q34</f>
        <v>6.4578026436766294</v>
      </c>
      <c r="P34" s="269">
        <f t="shared" ref="P34" si="79">M34/S34</f>
        <v>0.63344096569157315</v>
      </c>
      <c r="Q34" s="209">
        <v>150094</v>
      </c>
      <c r="R34" s="207">
        <v>0</v>
      </c>
      <c r="S34" s="208">
        <v>1530178</v>
      </c>
    </row>
    <row r="35" spans="1:71" hidden="1" x14ac:dyDescent="0.35">
      <c r="A35" s="290" t="s">
        <v>373</v>
      </c>
      <c r="B35" s="200">
        <v>0</v>
      </c>
      <c r="C35" s="201">
        <v>0</v>
      </c>
      <c r="D35" s="201">
        <v>0</v>
      </c>
      <c r="E35" s="264">
        <f t="shared" ref="E35:E38" si="80">SUM(B35+D35)</f>
        <v>0</v>
      </c>
      <c r="F35" s="201">
        <f t="shared" ref="F35" si="81">ROUND(F94, -3)</f>
        <v>0</v>
      </c>
      <c r="G35" s="265" t="e">
        <f>E35/Q35</f>
        <v>#DIV/0!</v>
      </c>
      <c r="H35" s="266" t="e">
        <f>E35/S35</f>
        <v>#DIV/0!</v>
      </c>
      <c r="I35" s="200">
        <v>0</v>
      </c>
      <c r="J35" s="201">
        <v>0</v>
      </c>
      <c r="K35" s="201">
        <v>0</v>
      </c>
      <c r="L35" s="201">
        <v>0</v>
      </c>
      <c r="M35" s="201">
        <v>0</v>
      </c>
      <c r="N35" s="204" t="e">
        <f t="shared" si="2"/>
        <v>#DIV/0!</v>
      </c>
      <c r="O35" s="205"/>
      <c r="P35" s="206"/>
      <c r="Q35" s="175">
        <v>0</v>
      </c>
      <c r="R35" s="107">
        <v>0</v>
      </c>
      <c r="S35" s="113">
        <v>0</v>
      </c>
    </row>
    <row r="36" spans="1:71" hidden="1" x14ac:dyDescent="0.35">
      <c r="A36" s="290" t="s">
        <v>516</v>
      </c>
      <c r="B36" s="200">
        <v>0</v>
      </c>
      <c r="C36" s="201">
        <v>0</v>
      </c>
      <c r="D36" s="201">
        <v>0</v>
      </c>
      <c r="E36" s="264">
        <f t="shared" si="80"/>
        <v>0</v>
      </c>
      <c r="F36" s="201"/>
      <c r="G36" s="202" t="e">
        <f t="shared" ref="G36:G48" si="82">E36/Q36</f>
        <v>#DIV/0!</v>
      </c>
      <c r="H36" s="203" t="e">
        <f t="shared" ref="H36:H48" si="83">E36/S36</f>
        <v>#DIV/0!</v>
      </c>
      <c r="I36" s="200">
        <v>0</v>
      </c>
      <c r="J36" s="201">
        <v>0</v>
      </c>
      <c r="K36" s="201">
        <v>0</v>
      </c>
      <c r="L36" s="201">
        <v>0</v>
      </c>
      <c r="M36" s="201">
        <v>0</v>
      </c>
      <c r="N36" s="204" t="e">
        <f t="shared" si="2"/>
        <v>#DIV/0!</v>
      </c>
      <c r="O36" s="205" t="e">
        <f t="shared" si="52"/>
        <v>#DIV/0!</v>
      </c>
      <c r="P36" s="206" t="e">
        <f t="shared" si="3"/>
        <v>#DIV/0!</v>
      </c>
      <c r="Q36" s="175">
        <v>0</v>
      </c>
      <c r="R36" s="107">
        <v>0</v>
      </c>
      <c r="S36" s="113">
        <v>0</v>
      </c>
    </row>
    <row r="37" spans="1:71" hidden="1" x14ac:dyDescent="0.35">
      <c r="A37" s="290" t="s">
        <v>517</v>
      </c>
      <c r="B37" s="200">
        <v>0</v>
      </c>
      <c r="C37" s="201">
        <v>0</v>
      </c>
      <c r="D37" s="201">
        <v>0</v>
      </c>
      <c r="E37" s="264">
        <f t="shared" si="80"/>
        <v>0</v>
      </c>
      <c r="F37" s="201"/>
      <c r="G37" s="202" t="e">
        <f t="shared" si="82"/>
        <v>#DIV/0!</v>
      </c>
      <c r="H37" s="203" t="e">
        <f t="shared" si="83"/>
        <v>#DIV/0!</v>
      </c>
      <c r="I37" s="200">
        <v>0</v>
      </c>
      <c r="J37" s="201">
        <v>0</v>
      </c>
      <c r="K37" s="201">
        <v>0</v>
      </c>
      <c r="L37" s="201">
        <v>0</v>
      </c>
      <c r="M37" s="201">
        <v>0</v>
      </c>
      <c r="N37" s="204" t="e">
        <f t="shared" si="2"/>
        <v>#DIV/0!</v>
      </c>
      <c r="O37" s="205" t="e">
        <f t="shared" si="52"/>
        <v>#DIV/0!</v>
      </c>
      <c r="P37" s="206" t="e">
        <f t="shared" si="3"/>
        <v>#DIV/0!</v>
      </c>
      <c r="Q37" s="175">
        <v>0</v>
      </c>
      <c r="R37" s="107">
        <v>0</v>
      </c>
      <c r="S37" s="113">
        <v>0</v>
      </c>
    </row>
    <row r="38" spans="1:71" hidden="1" x14ac:dyDescent="0.35">
      <c r="A38" s="290" t="s">
        <v>518</v>
      </c>
      <c r="B38" s="200">
        <v>0</v>
      </c>
      <c r="C38" s="201">
        <v>0</v>
      </c>
      <c r="D38" s="201">
        <v>0</v>
      </c>
      <c r="E38" s="264">
        <f t="shared" si="80"/>
        <v>0</v>
      </c>
      <c r="F38" s="201"/>
      <c r="G38" s="202" t="e">
        <f t="shared" si="82"/>
        <v>#DIV/0!</v>
      </c>
      <c r="H38" s="203" t="e">
        <f t="shared" si="83"/>
        <v>#DIV/0!</v>
      </c>
      <c r="I38" s="200">
        <v>0</v>
      </c>
      <c r="J38" s="201">
        <v>0</v>
      </c>
      <c r="K38" s="201">
        <v>0</v>
      </c>
      <c r="L38" s="201">
        <v>0</v>
      </c>
      <c r="M38" s="201">
        <v>0</v>
      </c>
      <c r="N38" s="204" t="e">
        <f t="shared" si="2"/>
        <v>#DIV/0!</v>
      </c>
      <c r="O38" s="205" t="e">
        <f t="shared" si="52"/>
        <v>#DIV/0!</v>
      </c>
      <c r="P38" s="206" t="e">
        <f t="shared" si="3"/>
        <v>#DIV/0!</v>
      </c>
      <c r="Q38" s="175">
        <v>0</v>
      </c>
      <c r="R38" s="107">
        <v>0</v>
      </c>
      <c r="S38" s="113">
        <v>0</v>
      </c>
    </row>
    <row r="39" spans="1:71" s="199" customFormat="1" x14ac:dyDescent="0.35">
      <c r="A39" s="291" t="s">
        <v>384</v>
      </c>
      <c r="B39" s="188">
        <f>B40+B49</f>
        <v>2680333.8199999998</v>
      </c>
      <c r="C39" s="189">
        <f t="shared" ref="C39:D39" si="84">C40+C49</f>
        <v>809429.95</v>
      </c>
      <c r="D39" s="189">
        <f t="shared" si="84"/>
        <v>514139.44999999995</v>
      </c>
      <c r="E39" s="189">
        <f>E40+E49</f>
        <v>3194473.2700000005</v>
      </c>
      <c r="F39" s="189">
        <f t="shared" ref="F39" si="85">F40+F49</f>
        <v>0</v>
      </c>
      <c r="G39" s="190">
        <f t="shared" si="82"/>
        <v>0.9645088713245995</v>
      </c>
      <c r="H39" s="191">
        <f t="shared" si="83"/>
        <v>4.0545470664247178E-2</v>
      </c>
      <c r="I39" s="188">
        <f t="shared" ref="I39" si="86">I40+I49</f>
        <v>7952.13</v>
      </c>
      <c r="J39" s="189">
        <f t="shared" ref="J39" si="87">J40+J49</f>
        <v>15100.32</v>
      </c>
      <c r="K39" s="189">
        <f t="shared" ref="K39" si="88">K40+K49</f>
        <v>10834729.74</v>
      </c>
      <c r="L39" s="189">
        <f>L40+L49</f>
        <v>32316136.560000002</v>
      </c>
      <c r="M39" s="189">
        <f>M40+M49</f>
        <v>43173918.75</v>
      </c>
      <c r="N39" s="192">
        <f t="shared" si="2"/>
        <v>5.3394388712977323E-4</v>
      </c>
      <c r="O39" s="193">
        <f t="shared" si="52"/>
        <v>13.035522330171966</v>
      </c>
      <c r="P39" s="194">
        <f t="shared" si="3"/>
        <v>0.54797981018595787</v>
      </c>
      <c r="Q39" s="174">
        <f t="shared" ref="Q39:S39" si="89">Q40+Q41+Q49</f>
        <v>3312020.62</v>
      </c>
      <c r="R39" s="108">
        <f t="shared" si="89"/>
        <v>37888350.950000003</v>
      </c>
      <c r="S39" s="111">
        <f t="shared" si="89"/>
        <v>78787426.010000005</v>
      </c>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row>
    <row r="40" spans="1:71" x14ac:dyDescent="0.35">
      <c r="A40" s="399" t="s">
        <v>385</v>
      </c>
      <c r="B40" s="200">
        <v>2671.51</v>
      </c>
      <c r="C40" s="201">
        <v>1831.62</v>
      </c>
      <c r="D40" s="201">
        <v>1831.62</v>
      </c>
      <c r="E40" s="264">
        <f>SUM(B40+D40)</f>
        <v>4503.13</v>
      </c>
      <c r="F40" s="201">
        <f t="shared" ref="F40" si="90">ROUND(F100, -3)</f>
        <v>0</v>
      </c>
      <c r="G40" s="202" t="s">
        <v>505</v>
      </c>
      <c r="H40" s="203" t="s">
        <v>505</v>
      </c>
      <c r="I40" s="200">
        <v>0</v>
      </c>
      <c r="J40" s="201">
        <v>0</v>
      </c>
      <c r="K40" s="201">
        <v>20197.02</v>
      </c>
      <c r="L40" s="201">
        <f>57381.85-20197</f>
        <v>37184.85</v>
      </c>
      <c r="M40" s="201">
        <f>SUM(I40:L40)</f>
        <v>57381.869999999995</v>
      </c>
      <c r="N40" s="204">
        <f t="shared" si="2"/>
        <v>0</v>
      </c>
      <c r="O40" s="205" t="s">
        <v>505</v>
      </c>
      <c r="P40" s="206" t="s">
        <v>505</v>
      </c>
      <c r="Q40" s="175"/>
      <c r="R40" s="107"/>
      <c r="S40" s="113"/>
    </row>
    <row r="41" spans="1:71" hidden="1" x14ac:dyDescent="0.35">
      <c r="A41" s="290" t="s">
        <v>373</v>
      </c>
      <c r="B41" s="200">
        <v>0</v>
      </c>
      <c r="C41" s="201">
        <v>0</v>
      </c>
      <c r="D41" s="201">
        <v>0</v>
      </c>
      <c r="E41" s="201">
        <f t="shared" ref="E41:E48" si="91">SUM(B41+D41)</f>
        <v>0</v>
      </c>
      <c r="F41" s="201"/>
      <c r="G41" s="202" t="e">
        <f t="shared" si="82"/>
        <v>#DIV/0!</v>
      </c>
      <c r="H41" s="203" t="e">
        <f t="shared" si="83"/>
        <v>#DIV/0!</v>
      </c>
      <c r="I41" s="200">
        <v>0</v>
      </c>
      <c r="J41" s="201">
        <v>0</v>
      </c>
      <c r="K41" s="201">
        <v>0</v>
      </c>
      <c r="L41" s="201">
        <v>0</v>
      </c>
      <c r="M41" s="201">
        <v>0</v>
      </c>
      <c r="N41" s="204"/>
      <c r="O41" s="205" t="e">
        <f t="shared" si="52"/>
        <v>#DIV/0!</v>
      </c>
      <c r="P41" s="206" t="e">
        <f t="shared" si="3"/>
        <v>#DIV/0!</v>
      </c>
      <c r="Q41" s="175">
        <v>0</v>
      </c>
      <c r="R41" s="107">
        <v>0</v>
      </c>
      <c r="S41" s="113">
        <v>0</v>
      </c>
    </row>
    <row r="42" spans="1:71" hidden="1" x14ac:dyDescent="0.35">
      <c r="A42" s="290" t="s">
        <v>525</v>
      </c>
      <c r="B42" s="200">
        <v>0</v>
      </c>
      <c r="C42" s="201">
        <v>0</v>
      </c>
      <c r="D42" s="201">
        <v>0</v>
      </c>
      <c r="E42" s="201">
        <f t="shared" si="91"/>
        <v>0</v>
      </c>
      <c r="F42" s="201"/>
      <c r="G42" s="202" t="e">
        <f t="shared" si="82"/>
        <v>#DIV/0!</v>
      </c>
      <c r="H42" s="203" t="e">
        <f t="shared" si="83"/>
        <v>#DIV/0!</v>
      </c>
      <c r="I42" s="200">
        <v>0</v>
      </c>
      <c r="J42" s="201">
        <v>0</v>
      </c>
      <c r="K42" s="201">
        <v>0</v>
      </c>
      <c r="L42" s="201">
        <v>0</v>
      </c>
      <c r="M42" s="201">
        <v>0</v>
      </c>
      <c r="N42" s="204" t="e">
        <f t="shared" si="2"/>
        <v>#DIV/0!</v>
      </c>
      <c r="O42" s="205" t="e">
        <f t="shared" si="52"/>
        <v>#DIV/0!</v>
      </c>
      <c r="P42" s="206" t="e">
        <f t="shared" si="3"/>
        <v>#DIV/0!</v>
      </c>
      <c r="Q42" s="175">
        <v>0</v>
      </c>
      <c r="R42" s="107">
        <v>0</v>
      </c>
      <c r="S42" s="113">
        <v>0</v>
      </c>
    </row>
    <row r="43" spans="1:71" hidden="1" x14ac:dyDescent="0.35">
      <c r="A43" s="290" t="s">
        <v>526</v>
      </c>
      <c r="B43" s="200">
        <v>0</v>
      </c>
      <c r="C43" s="201">
        <v>0</v>
      </c>
      <c r="D43" s="201">
        <v>0</v>
      </c>
      <c r="E43" s="201">
        <f t="shared" si="91"/>
        <v>0</v>
      </c>
      <c r="F43" s="201"/>
      <c r="G43" s="202" t="e">
        <f t="shared" si="82"/>
        <v>#DIV/0!</v>
      </c>
      <c r="H43" s="203" t="e">
        <f t="shared" si="83"/>
        <v>#DIV/0!</v>
      </c>
      <c r="I43" s="200">
        <v>0</v>
      </c>
      <c r="J43" s="201">
        <v>0</v>
      </c>
      <c r="K43" s="201">
        <v>0</v>
      </c>
      <c r="L43" s="201">
        <v>0</v>
      </c>
      <c r="M43" s="201">
        <v>0</v>
      </c>
      <c r="N43" s="204" t="e">
        <f t="shared" si="2"/>
        <v>#DIV/0!</v>
      </c>
      <c r="O43" s="205" t="e">
        <f t="shared" si="52"/>
        <v>#DIV/0!</v>
      </c>
      <c r="P43" s="206" t="e">
        <f t="shared" si="3"/>
        <v>#DIV/0!</v>
      </c>
      <c r="Q43" s="175">
        <v>0</v>
      </c>
      <c r="R43" s="107">
        <v>0</v>
      </c>
      <c r="S43" s="113">
        <v>0</v>
      </c>
    </row>
    <row r="44" spans="1:71" hidden="1" x14ac:dyDescent="0.35">
      <c r="A44" s="290" t="s">
        <v>527</v>
      </c>
      <c r="B44" s="200">
        <v>0</v>
      </c>
      <c r="C44" s="201">
        <v>0</v>
      </c>
      <c r="D44" s="201">
        <v>0</v>
      </c>
      <c r="E44" s="201">
        <f t="shared" si="91"/>
        <v>0</v>
      </c>
      <c r="F44" s="201"/>
      <c r="G44" s="202" t="e">
        <f t="shared" si="82"/>
        <v>#DIV/0!</v>
      </c>
      <c r="H44" s="203" t="e">
        <f t="shared" si="83"/>
        <v>#DIV/0!</v>
      </c>
      <c r="I44" s="200">
        <v>0</v>
      </c>
      <c r="J44" s="201">
        <v>0</v>
      </c>
      <c r="K44" s="201">
        <v>0</v>
      </c>
      <c r="L44" s="201">
        <v>0</v>
      </c>
      <c r="M44" s="201">
        <v>0</v>
      </c>
      <c r="N44" s="204" t="e">
        <f t="shared" si="2"/>
        <v>#DIV/0!</v>
      </c>
      <c r="O44" s="205" t="e">
        <f t="shared" si="52"/>
        <v>#DIV/0!</v>
      </c>
      <c r="P44" s="206" t="e">
        <f t="shared" si="3"/>
        <v>#DIV/0!</v>
      </c>
      <c r="Q44" s="175">
        <v>0</v>
      </c>
      <c r="R44" s="107">
        <v>0</v>
      </c>
      <c r="S44" s="113">
        <v>0</v>
      </c>
    </row>
    <row r="45" spans="1:71" hidden="1" x14ac:dyDescent="0.35">
      <c r="A45" s="290" t="s">
        <v>528</v>
      </c>
      <c r="B45" s="200">
        <v>0</v>
      </c>
      <c r="C45" s="201">
        <v>0</v>
      </c>
      <c r="D45" s="201">
        <v>0</v>
      </c>
      <c r="E45" s="201">
        <f t="shared" si="91"/>
        <v>0</v>
      </c>
      <c r="F45" s="201"/>
      <c r="G45" s="202" t="e">
        <f t="shared" si="82"/>
        <v>#DIV/0!</v>
      </c>
      <c r="H45" s="203" t="e">
        <f t="shared" si="83"/>
        <v>#DIV/0!</v>
      </c>
      <c r="I45" s="200">
        <v>0</v>
      </c>
      <c r="J45" s="201">
        <v>0</v>
      </c>
      <c r="K45" s="201">
        <v>0</v>
      </c>
      <c r="L45" s="201">
        <v>0</v>
      </c>
      <c r="M45" s="201">
        <v>0</v>
      </c>
      <c r="N45" s="204" t="e">
        <f t="shared" si="2"/>
        <v>#DIV/0!</v>
      </c>
      <c r="O45" s="205" t="e">
        <f t="shared" si="52"/>
        <v>#DIV/0!</v>
      </c>
      <c r="P45" s="206" t="e">
        <f t="shared" si="3"/>
        <v>#DIV/0!</v>
      </c>
      <c r="Q45" s="175">
        <v>0</v>
      </c>
      <c r="R45" s="107">
        <v>0</v>
      </c>
      <c r="S45" s="113">
        <v>0</v>
      </c>
    </row>
    <row r="46" spans="1:71" hidden="1" x14ac:dyDescent="0.35">
      <c r="A46" s="290" t="s">
        <v>529</v>
      </c>
      <c r="B46" s="200">
        <v>0</v>
      </c>
      <c r="C46" s="201">
        <v>0</v>
      </c>
      <c r="D46" s="201">
        <v>0</v>
      </c>
      <c r="E46" s="201">
        <f t="shared" si="91"/>
        <v>0</v>
      </c>
      <c r="F46" s="201"/>
      <c r="G46" s="202" t="e">
        <f t="shared" si="82"/>
        <v>#DIV/0!</v>
      </c>
      <c r="H46" s="203" t="e">
        <f t="shared" si="83"/>
        <v>#DIV/0!</v>
      </c>
      <c r="I46" s="200">
        <v>0</v>
      </c>
      <c r="J46" s="201">
        <v>0</v>
      </c>
      <c r="K46" s="201">
        <v>0</v>
      </c>
      <c r="L46" s="201">
        <v>0</v>
      </c>
      <c r="M46" s="201">
        <v>0</v>
      </c>
      <c r="N46" s="204" t="e">
        <f t="shared" si="2"/>
        <v>#DIV/0!</v>
      </c>
      <c r="O46" s="205" t="e">
        <f t="shared" si="52"/>
        <v>#DIV/0!</v>
      </c>
      <c r="P46" s="206" t="e">
        <f t="shared" si="3"/>
        <v>#DIV/0!</v>
      </c>
      <c r="Q46" s="175">
        <v>0</v>
      </c>
      <c r="R46" s="107">
        <v>0</v>
      </c>
      <c r="S46" s="113">
        <v>0</v>
      </c>
    </row>
    <row r="47" spans="1:71" hidden="1" x14ac:dyDescent="0.35">
      <c r="A47" s="290" t="s">
        <v>530</v>
      </c>
      <c r="B47" s="200">
        <v>0</v>
      </c>
      <c r="C47" s="201">
        <v>0</v>
      </c>
      <c r="D47" s="201">
        <v>0</v>
      </c>
      <c r="E47" s="201">
        <f t="shared" si="91"/>
        <v>0</v>
      </c>
      <c r="F47" s="201"/>
      <c r="G47" s="202" t="e">
        <f t="shared" si="82"/>
        <v>#DIV/0!</v>
      </c>
      <c r="H47" s="203" t="e">
        <f t="shared" si="83"/>
        <v>#DIV/0!</v>
      </c>
      <c r="I47" s="200">
        <v>0</v>
      </c>
      <c r="J47" s="201">
        <v>0</v>
      </c>
      <c r="K47" s="201">
        <v>0</v>
      </c>
      <c r="L47" s="201">
        <v>0</v>
      </c>
      <c r="M47" s="201">
        <v>0</v>
      </c>
      <c r="N47" s="204" t="e">
        <f t="shared" si="2"/>
        <v>#DIV/0!</v>
      </c>
      <c r="O47" s="205" t="e">
        <f t="shared" si="52"/>
        <v>#DIV/0!</v>
      </c>
      <c r="P47" s="206" t="e">
        <f t="shared" si="3"/>
        <v>#DIV/0!</v>
      </c>
      <c r="Q47" s="175">
        <v>0</v>
      </c>
      <c r="R47" s="107">
        <v>0</v>
      </c>
      <c r="S47" s="113">
        <v>0</v>
      </c>
    </row>
    <row r="48" spans="1:71" hidden="1" x14ac:dyDescent="0.35">
      <c r="A48" s="290" t="s">
        <v>531</v>
      </c>
      <c r="B48" s="200">
        <v>0</v>
      </c>
      <c r="C48" s="201">
        <v>0</v>
      </c>
      <c r="D48" s="201">
        <v>0</v>
      </c>
      <c r="E48" s="201">
        <f t="shared" si="91"/>
        <v>0</v>
      </c>
      <c r="F48" s="201"/>
      <c r="G48" s="202" t="e">
        <f t="shared" si="82"/>
        <v>#DIV/0!</v>
      </c>
      <c r="H48" s="203" t="e">
        <f t="shared" si="83"/>
        <v>#DIV/0!</v>
      </c>
      <c r="I48" s="200">
        <v>0</v>
      </c>
      <c r="J48" s="201">
        <v>0</v>
      </c>
      <c r="K48" s="201">
        <v>0</v>
      </c>
      <c r="L48" s="201">
        <v>0</v>
      </c>
      <c r="M48" s="201">
        <v>0</v>
      </c>
      <c r="N48" s="204" t="e">
        <f t="shared" si="2"/>
        <v>#DIV/0!</v>
      </c>
      <c r="O48" s="205" t="e">
        <f t="shared" si="52"/>
        <v>#DIV/0!</v>
      </c>
      <c r="P48" s="206" t="e">
        <f t="shared" si="3"/>
        <v>#DIV/0!</v>
      </c>
      <c r="Q48" s="175">
        <v>0</v>
      </c>
      <c r="R48" s="107">
        <v>0</v>
      </c>
      <c r="S48" s="113">
        <v>0</v>
      </c>
    </row>
    <row r="49" spans="1:71" s="199" customFormat="1" x14ac:dyDescent="0.35">
      <c r="A49" s="328" t="s">
        <v>386</v>
      </c>
      <c r="B49" s="188">
        <f>SUM(B50:B59)</f>
        <v>2677662.31</v>
      </c>
      <c r="C49" s="189">
        <f t="shared" ref="C49:D49" si="92">SUM(C50:C59)</f>
        <v>807598.33</v>
      </c>
      <c r="D49" s="189">
        <f t="shared" si="92"/>
        <v>512307.82999999996</v>
      </c>
      <c r="E49" s="189">
        <f>SUM(E50:E59)</f>
        <v>3189970.1400000006</v>
      </c>
      <c r="F49" s="189">
        <f t="shared" ref="F49" si="93">SUM(F51:F59)</f>
        <v>0</v>
      </c>
      <c r="G49" s="190">
        <f t="shared" ref="G49:G57" si="94">E49/Q49</f>
        <v>0.96314923908897654</v>
      </c>
      <c r="H49" s="191">
        <f t="shared" ref="H49:H56" si="95">E49/S49</f>
        <v>4.0488315224248055E-2</v>
      </c>
      <c r="I49" s="188">
        <f>SUM(I50:I59)</f>
        <v>7952.13</v>
      </c>
      <c r="J49" s="189">
        <f t="shared" ref="J49:L49" si="96">SUM(J50:J59)</f>
        <v>15100.32</v>
      </c>
      <c r="K49" s="189">
        <f t="shared" si="96"/>
        <v>10814532.720000001</v>
      </c>
      <c r="L49" s="189">
        <f t="shared" si="96"/>
        <v>32278951.710000001</v>
      </c>
      <c r="M49" s="189">
        <f>SUM(M50:M59)</f>
        <v>43116536.880000003</v>
      </c>
      <c r="N49" s="192">
        <f t="shared" ref="N49:N59" si="97">(I49+J49)/M49</f>
        <v>5.3465448916174645E-4</v>
      </c>
      <c r="O49" s="193">
        <f>M49/Q49</f>
        <v>13.01819699419625</v>
      </c>
      <c r="P49" s="194">
        <f>M49/S49</f>
        <v>0.54725149765049419</v>
      </c>
      <c r="Q49" s="174">
        <f>SUM(Q50:Q59)</f>
        <v>3312020.62</v>
      </c>
      <c r="R49" s="108">
        <f>SUM(R50:R59)</f>
        <v>37888350.950000003</v>
      </c>
      <c r="S49" s="111">
        <f>SUM(S50:S59)</f>
        <v>78787426.010000005</v>
      </c>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row>
    <row r="50" spans="1:71" x14ac:dyDescent="0.35">
      <c r="A50" s="329" t="s">
        <v>532</v>
      </c>
      <c r="B50" s="263">
        <v>878880.96</v>
      </c>
      <c r="C50" s="264">
        <v>477459</v>
      </c>
      <c r="D50" s="264">
        <v>302300.57</v>
      </c>
      <c r="E50" s="264">
        <f>SUM(B50+D50)</f>
        <v>1181181.53</v>
      </c>
      <c r="F50" s="264">
        <f t="shared" ref="F50:F59" si="98">ROUND(F109, -3)</f>
        <v>0</v>
      </c>
      <c r="G50" s="265">
        <f t="shared" si="94"/>
        <v>0.78821787371367069</v>
      </c>
      <c r="H50" s="266">
        <f t="shared" si="95"/>
        <v>4.9200378463959492E-2</v>
      </c>
      <c r="I50" s="263">
        <v>0</v>
      </c>
      <c r="J50" s="264">
        <v>0</v>
      </c>
      <c r="K50" s="264">
        <v>6227323.8700000001</v>
      </c>
      <c r="L50" s="264">
        <f>14186470.74-5847804.48</f>
        <v>8338666.2599999998</v>
      </c>
      <c r="M50" s="400">
        <f>SUM(I50:L50)</f>
        <v>14565990.129999999</v>
      </c>
      <c r="N50" s="267">
        <f t="shared" si="97"/>
        <v>0</v>
      </c>
      <c r="O50" s="268">
        <f t="shared" ref="O50" si="99">M50/Q50</f>
        <v>9.7200755998977666</v>
      </c>
      <c r="P50" s="269">
        <f t="shared" si="3"/>
        <v>0.60672488427608451</v>
      </c>
      <c r="Q50" s="209">
        <v>1498547</v>
      </c>
      <c r="R50" s="207">
        <v>0</v>
      </c>
      <c r="S50" s="208">
        <v>24007570</v>
      </c>
    </row>
    <row r="51" spans="1:71" hidden="1" x14ac:dyDescent="0.35">
      <c r="A51" s="329" t="s">
        <v>569</v>
      </c>
      <c r="B51" s="263"/>
      <c r="C51" s="264"/>
      <c r="D51" s="264"/>
      <c r="E51" s="264">
        <f t="shared" ref="E51:E59" si="100">SUM(B51+D51)</f>
        <v>0</v>
      </c>
      <c r="F51" s="264">
        <f t="shared" si="98"/>
        <v>0</v>
      </c>
      <c r="G51" s="265" t="e">
        <f t="shared" si="94"/>
        <v>#DIV/0!</v>
      </c>
      <c r="H51" s="266" t="e">
        <f t="shared" si="95"/>
        <v>#DIV/0!</v>
      </c>
      <c r="I51" s="263">
        <v>0</v>
      </c>
      <c r="J51" s="264"/>
      <c r="K51" s="264"/>
      <c r="L51" s="264"/>
      <c r="M51" s="400">
        <f t="shared" ref="M51:M59" si="101">SUM(I51:L51)</f>
        <v>0</v>
      </c>
      <c r="N51" s="267" t="e">
        <f t="shared" si="97"/>
        <v>#DIV/0!</v>
      </c>
      <c r="O51" s="268" t="e">
        <f t="shared" ref="O51" si="102">M51/Q51</f>
        <v>#DIV/0!</v>
      </c>
      <c r="P51" s="269" t="e">
        <f t="shared" ref="P51" si="103">M51/S51</f>
        <v>#DIV/0!</v>
      </c>
      <c r="Q51" s="209"/>
      <c r="R51" s="207">
        <v>0</v>
      </c>
      <c r="S51" s="208"/>
    </row>
    <row r="52" spans="1:71" x14ac:dyDescent="0.35">
      <c r="A52" s="329" t="s">
        <v>534</v>
      </c>
      <c r="B52" s="263">
        <v>296922.34000000003</v>
      </c>
      <c r="C52" s="264">
        <v>89681.61</v>
      </c>
      <c r="D52" s="264">
        <v>55935.73</v>
      </c>
      <c r="E52" s="264">
        <f t="shared" si="100"/>
        <v>352858.07</v>
      </c>
      <c r="F52" s="264">
        <f t="shared" si="98"/>
        <v>0</v>
      </c>
      <c r="G52" s="265">
        <f t="shared" si="94"/>
        <v>0.42508571422169344</v>
      </c>
      <c r="H52" s="266">
        <f t="shared" si="95"/>
        <v>1.2710741613089833E-2</v>
      </c>
      <c r="I52" s="263">
        <v>0</v>
      </c>
      <c r="J52" s="264">
        <v>0</v>
      </c>
      <c r="K52" s="264">
        <v>1274870.3700000001</v>
      </c>
      <c r="L52" s="264">
        <f>5526446.91-1274870.37</f>
        <v>4251576.54</v>
      </c>
      <c r="M52" s="400">
        <f t="shared" si="101"/>
        <v>5526446.9100000001</v>
      </c>
      <c r="N52" s="267">
        <f t="shared" si="97"/>
        <v>0</v>
      </c>
      <c r="O52" s="268">
        <f t="shared" ref="O52" si="104">M52/Q52</f>
        <v>6.6576729613853551</v>
      </c>
      <c r="P52" s="269">
        <f t="shared" ref="P52" si="105">M52/S52</f>
        <v>0.19907505221991587</v>
      </c>
      <c r="Q52" s="209">
        <v>830086.87</v>
      </c>
      <c r="R52" s="207">
        <v>0</v>
      </c>
      <c r="S52" s="208">
        <v>27760620.170000002</v>
      </c>
    </row>
    <row r="53" spans="1:71" x14ac:dyDescent="0.35">
      <c r="A53" s="329" t="s">
        <v>535</v>
      </c>
      <c r="B53" s="263">
        <v>592.21</v>
      </c>
      <c r="C53" s="264">
        <v>3209.69</v>
      </c>
      <c r="D53" s="264">
        <v>1997.78</v>
      </c>
      <c r="E53" s="264">
        <f t="shared" si="100"/>
        <v>2589.9899999999998</v>
      </c>
      <c r="F53" s="264">
        <f t="shared" si="98"/>
        <v>0</v>
      </c>
      <c r="G53" s="265">
        <f t="shared" si="94"/>
        <v>0.41235312848272565</v>
      </c>
      <c r="H53" s="266" t="s">
        <v>505</v>
      </c>
      <c r="I53" s="263">
        <v>0</v>
      </c>
      <c r="J53" s="264">
        <v>0</v>
      </c>
      <c r="K53" s="264">
        <v>35392.9</v>
      </c>
      <c r="L53" s="264">
        <f>602.17+6452.2+949.33</f>
        <v>8003.7</v>
      </c>
      <c r="M53" s="400">
        <f t="shared" si="101"/>
        <v>43396.6</v>
      </c>
      <c r="N53" s="267">
        <f t="shared" si="97"/>
        <v>0</v>
      </c>
      <c r="O53" s="268">
        <f t="shared" ref="O53" si="106">M53/Q53</f>
        <v>6.909186435281006</v>
      </c>
      <c r="P53" s="269" t="s">
        <v>505</v>
      </c>
      <c r="Q53" s="209">
        <v>6281</v>
      </c>
      <c r="R53" s="207">
        <v>0</v>
      </c>
      <c r="S53" s="208">
        <v>0</v>
      </c>
    </row>
    <row r="54" spans="1:71" x14ac:dyDescent="0.35">
      <c r="A54" s="329" t="s">
        <v>537</v>
      </c>
      <c r="B54" s="263">
        <v>41288.300000000003</v>
      </c>
      <c r="C54" s="264">
        <v>1495.41</v>
      </c>
      <c r="D54" s="264">
        <v>45.8</v>
      </c>
      <c r="E54" s="264">
        <f t="shared" si="100"/>
        <v>41334.100000000006</v>
      </c>
      <c r="F54" s="264">
        <f t="shared" si="98"/>
        <v>0</v>
      </c>
      <c r="G54" s="265">
        <f t="shared" si="94"/>
        <v>0.15841311329649022</v>
      </c>
      <c r="H54" s="266">
        <f t="shared" si="95"/>
        <v>9.0578373090657929E-3</v>
      </c>
      <c r="I54" s="263">
        <v>0</v>
      </c>
      <c r="J54" s="264">
        <v>0</v>
      </c>
      <c r="K54" s="264">
        <v>16489.71</v>
      </c>
      <c r="L54" s="264">
        <f>610648.77-16489.71</f>
        <v>594159.06000000006</v>
      </c>
      <c r="M54" s="400">
        <f t="shared" si="101"/>
        <v>610648.77</v>
      </c>
      <c r="N54" s="267">
        <f t="shared" si="97"/>
        <v>0</v>
      </c>
      <c r="O54" s="268">
        <f t="shared" ref="O54" si="107">M54/Q54</f>
        <v>2.3403139970719669</v>
      </c>
      <c r="P54" s="269">
        <f t="shared" ref="P54" si="108">M54/S54</f>
        <v>0.13381583756852419</v>
      </c>
      <c r="Q54" s="209">
        <v>260926</v>
      </c>
      <c r="R54" s="207">
        <v>0</v>
      </c>
      <c r="S54" s="208">
        <v>4563352</v>
      </c>
    </row>
    <row r="55" spans="1:71" ht="14.25" customHeight="1" x14ac:dyDescent="0.35">
      <c r="A55" s="329" t="s">
        <v>538</v>
      </c>
      <c r="B55" s="263">
        <v>88621.17</v>
      </c>
      <c r="C55" s="264">
        <v>89117.63</v>
      </c>
      <c r="D55" s="264">
        <v>55468.59</v>
      </c>
      <c r="E55" s="264">
        <f t="shared" si="100"/>
        <v>144089.76</v>
      </c>
      <c r="F55" s="264">
        <f t="shared" si="98"/>
        <v>0</v>
      </c>
      <c r="G55" s="265">
        <f t="shared" si="94"/>
        <v>0.83261926775147932</v>
      </c>
      <c r="H55" s="266">
        <f t="shared" si="95"/>
        <v>8.8465690521386843E-3</v>
      </c>
      <c r="I55" s="263">
        <v>0</v>
      </c>
      <c r="J55" s="264">
        <v>0</v>
      </c>
      <c r="K55" s="264">
        <v>1234981.76</v>
      </c>
      <c r="L55" s="264">
        <f>2548828.69-1234981.76</f>
        <v>1313846.93</v>
      </c>
      <c r="M55" s="400">
        <f t="shared" si="101"/>
        <v>2548828.69</v>
      </c>
      <c r="N55" s="267">
        <f t="shared" si="97"/>
        <v>0</v>
      </c>
      <c r="O55" s="268">
        <f t="shared" ref="O55" si="109">M55/Q55</f>
        <v>14.728346257858728</v>
      </c>
      <c r="P55" s="269">
        <f t="shared" ref="P55" si="110">M55/S55</f>
        <v>0.15648849028659068</v>
      </c>
      <c r="Q55" s="209">
        <v>173056</v>
      </c>
      <c r="R55" s="207">
        <v>37888350.950000003</v>
      </c>
      <c r="S55" s="208">
        <v>16287643.17</v>
      </c>
    </row>
    <row r="56" spans="1:71" hidden="1" x14ac:dyDescent="0.35">
      <c r="A56" s="329" t="s">
        <v>570</v>
      </c>
      <c r="B56" s="263"/>
      <c r="C56" s="264"/>
      <c r="D56" s="264"/>
      <c r="E56" s="264">
        <f t="shared" si="100"/>
        <v>0</v>
      </c>
      <c r="F56" s="264">
        <f t="shared" si="98"/>
        <v>0</v>
      </c>
      <c r="G56" s="265" t="e">
        <f t="shared" si="94"/>
        <v>#DIV/0!</v>
      </c>
      <c r="H56" s="266" t="e">
        <f t="shared" si="95"/>
        <v>#DIV/0!</v>
      </c>
      <c r="I56" s="263">
        <v>0</v>
      </c>
      <c r="J56" s="264">
        <v>0</v>
      </c>
      <c r="K56" s="264"/>
      <c r="L56" s="264"/>
      <c r="M56" s="400"/>
      <c r="N56" s="267" t="e">
        <f t="shared" si="97"/>
        <v>#DIV/0!</v>
      </c>
      <c r="O56" s="268" t="e">
        <f t="shared" ref="O56" si="111">M56/Q56</f>
        <v>#DIV/0!</v>
      </c>
      <c r="P56" s="269" t="e">
        <f t="shared" ref="P56" si="112">M56/S56</f>
        <v>#DIV/0!</v>
      </c>
      <c r="Q56" s="209"/>
      <c r="R56" s="207">
        <v>0</v>
      </c>
      <c r="S56" s="208"/>
    </row>
    <row r="57" spans="1:71" x14ac:dyDescent="0.35">
      <c r="A57" s="329" t="s">
        <v>571</v>
      </c>
      <c r="B57" s="263">
        <v>88943.23</v>
      </c>
      <c r="C57" s="264">
        <v>135087.63</v>
      </c>
      <c r="D57" s="264">
        <v>85012</v>
      </c>
      <c r="E57" s="264">
        <f t="shared" si="100"/>
        <v>173955.22999999998</v>
      </c>
      <c r="F57" s="264">
        <f t="shared" si="98"/>
        <v>0</v>
      </c>
      <c r="G57" s="265">
        <f t="shared" si="94"/>
        <v>0.32028654611403012</v>
      </c>
      <c r="H57" s="266" t="s">
        <v>505</v>
      </c>
      <c r="I57" s="263">
        <v>0</v>
      </c>
      <c r="J57" s="264">
        <v>15100.32</v>
      </c>
      <c r="K57" s="264">
        <v>1898142.62</v>
      </c>
      <c r="L57" s="264">
        <f>3283714.23-1898142.62-15100.32</f>
        <v>1370471.2899999998</v>
      </c>
      <c r="M57" s="400">
        <f t="shared" si="101"/>
        <v>3283714.23</v>
      </c>
      <c r="N57" s="267">
        <f t="shared" si="97"/>
        <v>4.5985487598292013E-3</v>
      </c>
      <c r="O57" s="268">
        <f t="shared" ref="O57" si="113">M57/Q57</f>
        <v>6.0459779746328532</v>
      </c>
      <c r="P57" s="269" t="s">
        <v>505</v>
      </c>
      <c r="Q57" s="209">
        <v>543123.75</v>
      </c>
      <c r="R57" s="207">
        <v>0</v>
      </c>
      <c r="S57" s="208">
        <v>6168240.6699999999</v>
      </c>
    </row>
    <row r="58" spans="1:71" x14ac:dyDescent="0.35">
      <c r="A58" s="329" t="s">
        <v>541</v>
      </c>
      <c r="B58" s="263">
        <v>155891.64000000001</v>
      </c>
      <c r="C58" s="264">
        <v>0</v>
      </c>
      <c r="D58" s="264">
        <v>0</v>
      </c>
      <c r="E58" s="264">
        <f t="shared" si="100"/>
        <v>155891.64000000001</v>
      </c>
      <c r="F58" s="264">
        <f t="shared" si="98"/>
        <v>0</v>
      </c>
      <c r="G58" s="265" t="s">
        <v>505</v>
      </c>
      <c r="H58" s="266" t="s">
        <v>505</v>
      </c>
      <c r="I58" s="263">
        <v>7952.13</v>
      </c>
      <c r="J58" s="264">
        <v>0</v>
      </c>
      <c r="K58" s="264"/>
      <c r="L58" s="264">
        <v>3096600.53</v>
      </c>
      <c r="M58" s="400">
        <f t="shared" si="101"/>
        <v>3104552.6599999997</v>
      </c>
      <c r="N58" s="267">
        <f t="shared" si="97"/>
        <v>2.5614414928300817E-3</v>
      </c>
      <c r="O58" s="269" t="s">
        <v>505</v>
      </c>
      <c r="P58" s="269" t="s">
        <v>505</v>
      </c>
      <c r="Q58" s="209">
        <v>0</v>
      </c>
      <c r="R58" s="207">
        <v>0</v>
      </c>
      <c r="S58" s="208">
        <v>0</v>
      </c>
    </row>
    <row r="59" spans="1:71" ht="15" thickBot="1" x14ac:dyDescent="0.4">
      <c r="A59" s="330" t="s">
        <v>542</v>
      </c>
      <c r="B59" s="311">
        <v>1126522.46</v>
      </c>
      <c r="C59" s="303">
        <v>11547.36</v>
      </c>
      <c r="D59" s="303">
        <v>11547.36</v>
      </c>
      <c r="E59" s="264">
        <f t="shared" si="100"/>
        <v>1138069.82</v>
      </c>
      <c r="F59" s="303">
        <f t="shared" si="98"/>
        <v>0</v>
      </c>
      <c r="G59" s="312" t="s">
        <v>505</v>
      </c>
      <c r="H59" s="313" t="s">
        <v>505</v>
      </c>
      <c r="I59" s="311">
        <v>0</v>
      </c>
      <c r="J59" s="303">
        <v>0</v>
      </c>
      <c r="K59" s="303">
        <v>127331.49</v>
      </c>
      <c r="L59" s="303">
        <f>13274866.72+4783.77+25976.91</f>
        <v>13305627.4</v>
      </c>
      <c r="M59" s="400">
        <f t="shared" si="101"/>
        <v>13432958.890000001</v>
      </c>
      <c r="N59" s="314">
        <f t="shared" si="97"/>
        <v>0</v>
      </c>
      <c r="O59" s="269" t="s">
        <v>505</v>
      </c>
      <c r="P59" s="269" t="s">
        <v>505</v>
      </c>
      <c r="Q59" s="300">
        <v>0</v>
      </c>
      <c r="R59" s="301">
        <v>0</v>
      </c>
      <c r="S59" s="302">
        <v>0</v>
      </c>
    </row>
    <row r="60" spans="1:71" x14ac:dyDescent="0.35">
      <c r="A60" s="215"/>
      <c r="B60" s="215"/>
      <c r="C60" s="215"/>
      <c r="D60" s="215"/>
      <c r="E60" s="215"/>
      <c r="F60" s="215"/>
      <c r="G60" s="216"/>
      <c r="H60" s="216"/>
      <c r="I60" s="215"/>
      <c r="J60" s="215"/>
      <c r="K60" s="215"/>
      <c r="L60" s="215"/>
      <c r="M60" s="215"/>
      <c r="N60" s="215"/>
      <c r="O60" s="215"/>
      <c r="P60" s="215"/>
      <c r="Q60" s="217"/>
      <c r="R60" s="217"/>
      <c r="S60" s="217"/>
    </row>
    <row r="61" spans="1:71" s="176" customFormat="1" hidden="1" x14ac:dyDescent="0.35">
      <c r="A61" s="218" t="s">
        <v>349</v>
      </c>
      <c r="B61" s="219">
        <f>B62+B65+B67+B69+B71+B75</f>
        <v>982580.63876084471</v>
      </c>
      <c r="C61" s="219">
        <f t="shared" ref="C61:M61" si="114">C62+C65+C67+C69+C71+C75</f>
        <v>158849.65498255999</v>
      </c>
      <c r="D61" s="219">
        <f t="shared" si="114"/>
        <v>158849.65498255999</v>
      </c>
      <c r="E61" s="219">
        <f t="shared" si="114"/>
        <v>1141430.2937434048</v>
      </c>
      <c r="F61" s="219">
        <f t="shared" si="114"/>
        <v>0</v>
      </c>
      <c r="G61" s="220"/>
      <c r="H61" s="220"/>
      <c r="I61" s="219">
        <f t="shared" si="114"/>
        <v>739204.0344</v>
      </c>
      <c r="J61" s="219">
        <f t="shared" si="114"/>
        <v>0</v>
      </c>
      <c r="K61" s="219">
        <f t="shared" si="114"/>
        <v>2396535.2716464</v>
      </c>
      <c r="L61" s="219">
        <f t="shared" si="114"/>
        <v>15045259.36434382</v>
      </c>
      <c r="M61" s="219">
        <f t="shared" si="114"/>
        <v>18180998.670390218</v>
      </c>
      <c r="N61" s="221"/>
      <c r="O61" s="221"/>
      <c r="P61" s="221"/>
      <c r="Q61" s="186">
        <v>2009000</v>
      </c>
      <c r="R61" s="186">
        <v>370000000</v>
      </c>
      <c r="S61" s="186">
        <v>51632000</v>
      </c>
    </row>
    <row r="62" spans="1:71" s="199" customFormat="1" hidden="1" x14ac:dyDescent="0.35">
      <c r="A62" s="222" t="s">
        <v>351</v>
      </c>
      <c r="B62" s="223">
        <f>SUM(B63:B64)</f>
        <v>458949.19651582965</v>
      </c>
      <c r="C62" s="223">
        <f t="shared" ref="C62:M62" si="115">SUM(C63:C64)</f>
        <v>0</v>
      </c>
      <c r="D62" s="223">
        <f t="shared" si="115"/>
        <v>0</v>
      </c>
      <c r="E62" s="223">
        <f t="shared" si="115"/>
        <v>458949.19651582965</v>
      </c>
      <c r="F62" s="223">
        <f t="shared" si="115"/>
        <v>0</v>
      </c>
      <c r="G62" s="224"/>
      <c r="H62" s="224"/>
      <c r="I62" s="223">
        <f t="shared" si="115"/>
        <v>0</v>
      </c>
      <c r="J62" s="223">
        <f t="shared" si="115"/>
        <v>0</v>
      </c>
      <c r="K62" s="223">
        <f t="shared" si="115"/>
        <v>0</v>
      </c>
      <c r="L62" s="223">
        <f t="shared" si="115"/>
        <v>6498549.1941151991</v>
      </c>
      <c r="M62" s="223">
        <f t="shared" si="115"/>
        <v>6498549.1941151991</v>
      </c>
      <c r="N62" s="225"/>
      <c r="O62" s="225"/>
      <c r="P62" s="225"/>
      <c r="Q62" s="196">
        <v>783000</v>
      </c>
      <c r="R62" s="196">
        <v>0</v>
      </c>
      <c r="S62" s="196">
        <v>10262000</v>
      </c>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row>
    <row r="63" spans="1:71" hidden="1" x14ac:dyDescent="0.35">
      <c r="A63" s="226" t="s">
        <v>352</v>
      </c>
      <c r="B63" s="227">
        <v>382201.44984993892</v>
      </c>
      <c r="C63" s="227">
        <v>0</v>
      </c>
      <c r="D63" s="227">
        <v>0</v>
      </c>
      <c r="E63" s="227">
        <v>382201.44984993892</v>
      </c>
      <c r="F63" s="227">
        <v>0</v>
      </c>
      <c r="G63" s="228"/>
      <c r="H63" s="228"/>
      <c r="I63" s="227">
        <v>0</v>
      </c>
      <c r="J63" s="227">
        <v>0</v>
      </c>
      <c r="K63" s="227">
        <v>0</v>
      </c>
      <c r="L63" s="227">
        <v>5392938.0389751988</v>
      </c>
      <c r="M63" s="227">
        <v>5392938.0389751988</v>
      </c>
      <c r="N63" s="229"/>
      <c r="O63" s="229"/>
      <c r="P63" s="229"/>
      <c r="Q63" s="207">
        <v>715000</v>
      </c>
      <c r="R63" s="207">
        <v>0</v>
      </c>
      <c r="S63" s="207">
        <v>4931000</v>
      </c>
    </row>
    <row r="64" spans="1:71" hidden="1" x14ac:dyDescent="0.35">
      <c r="A64" s="226" t="s">
        <v>353</v>
      </c>
      <c r="B64" s="227">
        <v>76747.746665890751</v>
      </c>
      <c r="C64" s="227">
        <v>0</v>
      </c>
      <c r="D64" s="227">
        <v>0</v>
      </c>
      <c r="E64" s="227">
        <v>76747.746665890751</v>
      </c>
      <c r="F64" s="227">
        <v>0</v>
      </c>
      <c r="G64" s="228"/>
      <c r="H64" s="228"/>
      <c r="I64" s="227">
        <v>0</v>
      </c>
      <c r="J64" s="227">
        <v>0</v>
      </c>
      <c r="K64" s="227">
        <v>0</v>
      </c>
      <c r="L64" s="227">
        <v>1105611.1551400002</v>
      </c>
      <c r="M64" s="227">
        <v>1105611.1551400002</v>
      </c>
      <c r="N64" s="229"/>
      <c r="O64" s="229"/>
      <c r="P64" s="229"/>
      <c r="Q64" s="207">
        <v>68000</v>
      </c>
      <c r="R64" s="207">
        <v>0</v>
      </c>
      <c r="S64" s="207">
        <v>5331000</v>
      </c>
    </row>
    <row r="65" spans="1:71" s="199" customFormat="1" hidden="1" x14ac:dyDescent="0.35">
      <c r="A65" s="222" t="s">
        <v>354</v>
      </c>
      <c r="B65" s="223">
        <f>B66</f>
        <v>93233.144034026234</v>
      </c>
      <c r="C65" s="223">
        <f t="shared" ref="C65:M65" si="116">C66</f>
        <v>86217.896159999989</v>
      </c>
      <c r="D65" s="223">
        <f t="shared" si="116"/>
        <v>86217.896159999989</v>
      </c>
      <c r="E65" s="223">
        <f t="shared" si="116"/>
        <v>179451.04019402622</v>
      </c>
      <c r="F65" s="223">
        <f t="shared" si="116"/>
        <v>0</v>
      </c>
      <c r="G65" s="224"/>
      <c r="H65" s="224"/>
      <c r="I65" s="223">
        <f t="shared" si="116"/>
        <v>0</v>
      </c>
      <c r="J65" s="223">
        <f t="shared" si="116"/>
        <v>0</v>
      </c>
      <c r="K65" s="223">
        <f t="shared" si="116"/>
        <v>711564.48</v>
      </c>
      <c r="L65" s="223">
        <f t="shared" si="116"/>
        <v>1326100.0755079999</v>
      </c>
      <c r="M65" s="223">
        <f t="shared" si="116"/>
        <v>2037664.5555079998</v>
      </c>
      <c r="N65" s="225"/>
      <c r="O65" s="225"/>
      <c r="P65" s="225"/>
      <c r="Q65" s="196">
        <v>273000</v>
      </c>
      <c r="R65" s="196">
        <v>0</v>
      </c>
      <c r="S65" s="196">
        <v>4198000</v>
      </c>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row>
    <row r="66" spans="1:71" hidden="1" x14ac:dyDescent="0.35">
      <c r="A66" s="226" t="s">
        <v>355</v>
      </c>
      <c r="B66" s="227">
        <v>93233.144034026234</v>
      </c>
      <c r="C66" s="227">
        <v>86217.896159999989</v>
      </c>
      <c r="D66" s="227">
        <v>86217.896159999989</v>
      </c>
      <c r="E66" s="227">
        <v>179451.04019402622</v>
      </c>
      <c r="F66" s="227">
        <v>0</v>
      </c>
      <c r="G66" s="228"/>
      <c r="H66" s="228"/>
      <c r="I66" s="227">
        <v>0</v>
      </c>
      <c r="J66" s="227">
        <v>0</v>
      </c>
      <c r="K66" s="227">
        <v>711564.48</v>
      </c>
      <c r="L66" s="227">
        <v>1326100.0755079999</v>
      </c>
      <c r="M66" s="227">
        <v>2037664.5555079998</v>
      </c>
      <c r="N66" s="229"/>
      <c r="O66" s="229"/>
      <c r="P66" s="229"/>
      <c r="Q66" s="207">
        <v>273000</v>
      </c>
      <c r="R66" s="207">
        <v>0</v>
      </c>
      <c r="S66" s="207">
        <v>4198000</v>
      </c>
    </row>
    <row r="67" spans="1:71" s="199" customFormat="1" hidden="1" x14ac:dyDescent="0.35">
      <c r="A67" s="222" t="s">
        <v>572</v>
      </c>
      <c r="B67" s="223">
        <f>B68</f>
        <v>139646.7740147415</v>
      </c>
      <c r="C67" s="223">
        <f t="shared" ref="C67:M67" si="117">C68</f>
        <v>0</v>
      </c>
      <c r="D67" s="223">
        <f t="shared" si="117"/>
        <v>0</v>
      </c>
      <c r="E67" s="223">
        <f t="shared" si="117"/>
        <v>139646.7740147415</v>
      </c>
      <c r="F67" s="223">
        <f t="shared" si="117"/>
        <v>0</v>
      </c>
      <c r="G67" s="224"/>
      <c r="H67" s="224"/>
      <c r="I67" s="223">
        <f t="shared" si="117"/>
        <v>739204.0344</v>
      </c>
      <c r="J67" s="223">
        <f t="shared" si="117"/>
        <v>0</v>
      </c>
      <c r="K67" s="223">
        <f t="shared" si="117"/>
        <v>0</v>
      </c>
      <c r="L67" s="223">
        <f t="shared" si="117"/>
        <v>3157040.5047090231</v>
      </c>
      <c r="M67" s="223">
        <f t="shared" si="117"/>
        <v>3896244.5391090233</v>
      </c>
      <c r="N67" s="225"/>
      <c r="O67" s="225"/>
      <c r="P67" s="225"/>
      <c r="Q67" s="196">
        <v>813000</v>
      </c>
      <c r="R67" s="196">
        <v>0</v>
      </c>
      <c r="S67" s="196">
        <v>7513000</v>
      </c>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row>
    <row r="68" spans="1:71" hidden="1" x14ac:dyDescent="0.35">
      <c r="A68" s="226" t="s">
        <v>357</v>
      </c>
      <c r="B68" s="227">
        <v>139646.7740147415</v>
      </c>
      <c r="C68" s="227">
        <v>0</v>
      </c>
      <c r="D68" s="227">
        <v>0</v>
      </c>
      <c r="E68" s="227">
        <v>139646.7740147415</v>
      </c>
      <c r="F68" s="227">
        <v>0</v>
      </c>
      <c r="G68" s="228"/>
      <c r="H68" s="228"/>
      <c r="I68" s="227">
        <v>739204.0344</v>
      </c>
      <c r="J68" s="227">
        <v>0</v>
      </c>
      <c r="K68" s="227">
        <v>0</v>
      </c>
      <c r="L68" s="227">
        <v>3157040.5047090231</v>
      </c>
      <c r="M68" s="227">
        <v>3896244.5391090233</v>
      </c>
      <c r="N68" s="229"/>
      <c r="O68" s="229"/>
      <c r="P68" s="229"/>
      <c r="Q68" s="207">
        <v>813000</v>
      </c>
      <c r="R68" s="207">
        <v>0</v>
      </c>
      <c r="S68" s="207">
        <v>7513000</v>
      </c>
    </row>
    <row r="69" spans="1:71" s="199" customFormat="1" hidden="1" x14ac:dyDescent="0.35">
      <c r="A69" s="222" t="s">
        <v>358</v>
      </c>
      <c r="B69" s="223">
        <f>B70</f>
        <v>61824.492039095261</v>
      </c>
      <c r="C69" s="223">
        <f t="shared" ref="C69:M69" si="118">C70</f>
        <v>36668.182187999999</v>
      </c>
      <c r="D69" s="223">
        <f t="shared" si="118"/>
        <v>36668.182187999999</v>
      </c>
      <c r="E69" s="223">
        <f t="shared" si="118"/>
        <v>98492.674227095267</v>
      </c>
      <c r="F69" s="223">
        <f t="shared" si="118"/>
        <v>0</v>
      </c>
      <c r="G69" s="224"/>
      <c r="H69" s="224"/>
      <c r="I69" s="223">
        <f t="shared" si="118"/>
        <v>0</v>
      </c>
      <c r="J69" s="223">
        <f t="shared" si="118"/>
        <v>0</v>
      </c>
      <c r="K69" s="223">
        <f t="shared" si="118"/>
        <v>181825.69680000001</v>
      </c>
      <c r="L69" s="223">
        <f t="shared" si="118"/>
        <v>890628.44805999997</v>
      </c>
      <c r="M69" s="223">
        <f t="shared" si="118"/>
        <v>1072454.1448599999</v>
      </c>
      <c r="N69" s="225"/>
      <c r="O69" s="225"/>
      <c r="P69" s="225"/>
      <c r="Q69" s="196">
        <v>0</v>
      </c>
      <c r="R69" s="196">
        <v>132000000</v>
      </c>
      <c r="S69" s="196">
        <v>2284000</v>
      </c>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row>
    <row r="70" spans="1:71" hidden="1" x14ac:dyDescent="0.35">
      <c r="A70" s="226" t="s">
        <v>359</v>
      </c>
      <c r="B70" s="227">
        <v>61824.492039095261</v>
      </c>
      <c r="C70" s="227">
        <v>36668.182187999999</v>
      </c>
      <c r="D70" s="227">
        <v>36668.182187999999</v>
      </c>
      <c r="E70" s="227">
        <v>98492.674227095267</v>
      </c>
      <c r="F70" s="227">
        <v>0</v>
      </c>
      <c r="G70" s="228"/>
      <c r="H70" s="228"/>
      <c r="I70" s="227">
        <v>0</v>
      </c>
      <c r="J70" s="227">
        <v>0</v>
      </c>
      <c r="K70" s="227">
        <v>181825.69680000001</v>
      </c>
      <c r="L70" s="227">
        <v>890628.44805999997</v>
      </c>
      <c r="M70" s="227">
        <v>1072454.1448599999</v>
      </c>
      <c r="N70" s="229"/>
      <c r="O70" s="229"/>
      <c r="P70" s="229"/>
      <c r="Q70" s="207">
        <v>0</v>
      </c>
      <c r="R70" s="207">
        <v>132000000</v>
      </c>
      <c r="S70" s="207">
        <v>2284000</v>
      </c>
    </row>
    <row r="71" spans="1:71" s="199" customFormat="1" hidden="1" x14ac:dyDescent="0.35">
      <c r="A71" s="222" t="s">
        <v>360</v>
      </c>
      <c r="B71" s="223">
        <f>SUM(B72:B74)</f>
        <v>30303.576403104445</v>
      </c>
      <c r="C71" s="223">
        <f t="shared" ref="C71:M71" si="119">SUM(C72:C74)</f>
        <v>28558.237014560003</v>
      </c>
      <c r="D71" s="223">
        <f t="shared" si="119"/>
        <v>28558.237014560003</v>
      </c>
      <c r="E71" s="223">
        <f t="shared" si="119"/>
        <v>58861.813417664438</v>
      </c>
      <c r="F71" s="223">
        <f t="shared" si="119"/>
        <v>0</v>
      </c>
      <c r="G71" s="224"/>
      <c r="H71" s="224"/>
      <c r="I71" s="223">
        <f t="shared" si="119"/>
        <v>0</v>
      </c>
      <c r="J71" s="223">
        <f t="shared" si="119"/>
        <v>0</v>
      </c>
      <c r="K71" s="223">
        <f t="shared" si="119"/>
        <v>233658.30284640001</v>
      </c>
      <c r="L71" s="223">
        <f t="shared" si="119"/>
        <v>436602.73570399999</v>
      </c>
      <c r="M71" s="223">
        <f t="shared" si="119"/>
        <v>670261.03855039994</v>
      </c>
      <c r="N71" s="225"/>
      <c r="O71" s="225"/>
      <c r="P71" s="225"/>
      <c r="Q71" s="196">
        <v>140000</v>
      </c>
      <c r="R71" s="196">
        <v>0</v>
      </c>
      <c r="S71" s="196">
        <v>2439000</v>
      </c>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row>
    <row r="72" spans="1:71" hidden="1" x14ac:dyDescent="0.35">
      <c r="A72" s="226" t="s">
        <v>361</v>
      </c>
      <c r="B72" s="227">
        <v>1385.8683955586525</v>
      </c>
      <c r="C72" s="227">
        <v>6387.8399200000003</v>
      </c>
      <c r="D72" s="227">
        <v>6387.8399200000003</v>
      </c>
      <c r="E72" s="227">
        <v>7773.7083155586533</v>
      </c>
      <c r="F72" s="227">
        <v>0</v>
      </c>
      <c r="G72" s="228"/>
      <c r="H72" s="228"/>
      <c r="I72" s="227">
        <v>0</v>
      </c>
      <c r="J72" s="227">
        <v>0</v>
      </c>
      <c r="K72" s="227">
        <v>52264.144800000002</v>
      </c>
      <c r="L72" s="227">
        <v>19967.389599999999</v>
      </c>
      <c r="M72" s="227">
        <v>72231.534400000004</v>
      </c>
      <c r="N72" s="229"/>
      <c r="O72" s="229"/>
      <c r="P72" s="229"/>
      <c r="Q72" s="230">
        <v>9000</v>
      </c>
      <c r="R72" s="207">
        <v>0</v>
      </c>
      <c r="S72" s="207">
        <v>518000</v>
      </c>
    </row>
    <row r="73" spans="1:71" hidden="1" x14ac:dyDescent="0.35">
      <c r="A73" s="226" t="s">
        <v>362</v>
      </c>
      <c r="B73" s="227">
        <v>1866.8507384089814</v>
      </c>
      <c r="C73" s="227">
        <v>14393.881094560002</v>
      </c>
      <c r="D73" s="227">
        <v>14393.881094560002</v>
      </c>
      <c r="E73" s="227">
        <v>16260.731832968982</v>
      </c>
      <c r="F73" s="227">
        <v>0</v>
      </c>
      <c r="G73" s="228"/>
      <c r="H73" s="228"/>
      <c r="I73" s="227">
        <v>0</v>
      </c>
      <c r="J73" s="227">
        <v>0</v>
      </c>
      <c r="K73" s="227">
        <v>117768.11804640001</v>
      </c>
      <c r="L73" s="227">
        <v>26897.329343999998</v>
      </c>
      <c r="M73" s="227">
        <v>144665.44739039999</v>
      </c>
      <c r="N73" s="229"/>
      <c r="O73" s="229"/>
      <c r="P73" s="229"/>
      <c r="Q73" s="230">
        <v>28000</v>
      </c>
      <c r="R73" s="207">
        <v>0</v>
      </c>
      <c r="S73" s="207">
        <v>1207000</v>
      </c>
    </row>
    <row r="74" spans="1:71" hidden="1" x14ac:dyDescent="0.35">
      <c r="A74" s="226" t="s">
        <v>363</v>
      </c>
      <c r="B74" s="227">
        <v>27050.85726913681</v>
      </c>
      <c r="C74" s="227">
        <v>7776.5159999999996</v>
      </c>
      <c r="D74" s="227">
        <v>7776.5159999999996</v>
      </c>
      <c r="E74" s="227">
        <v>34827.373269136806</v>
      </c>
      <c r="F74" s="227">
        <v>0</v>
      </c>
      <c r="G74" s="228"/>
      <c r="H74" s="228"/>
      <c r="I74" s="227">
        <v>0</v>
      </c>
      <c r="J74" s="227">
        <v>0</v>
      </c>
      <c r="K74" s="227">
        <v>63626.04</v>
      </c>
      <c r="L74" s="227">
        <v>389738.01676000003</v>
      </c>
      <c r="M74" s="227">
        <v>453364.05676000001</v>
      </c>
      <c r="N74" s="229"/>
      <c r="O74" s="229"/>
      <c r="P74" s="229"/>
      <c r="Q74" s="207">
        <v>103000</v>
      </c>
      <c r="R74" s="207">
        <v>0</v>
      </c>
      <c r="S74" s="207">
        <v>714000</v>
      </c>
    </row>
    <row r="75" spans="1:71" s="199" customFormat="1" hidden="1" x14ac:dyDescent="0.35">
      <c r="A75" s="222" t="s">
        <v>364</v>
      </c>
      <c r="B75" s="223">
        <f>B76</f>
        <v>198623.45575404764</v>
      </c>
      <c r="C75" s="223">
        <f t="shared" ref="C75:M75" si="120">C76</f>
        <v>7405.3396199999997</v>
      </c>
      <c r="D75" s="223">
        <f t="shared" si="120"/>
        <v>7405.3396199999997</v>
      </c>
      <c r="E75" s="223">
        <f t="shared" si="120"/>
        <v>206028.79537404765</v>
      </c>
      <c r="F75" s="223">
        <f t="shared" si="120"/>
        <v>0</v>
      </c>
      <c r="G75" s="224"/>
      <c r="H75" s="224"/>
      <c r="I75" s="223">
        <f t="shared" si="120"/>
        <v>0</v>
      </c>
      <c r="J75" s="223">
        <f t="shared" si="120"/>
        <v>0</v>
      </c>
      <c r="K75" s="223">
        <f t="shared" si="120"/>
        <v>1269486.7919999999</v>
      </c>
      <c r="L75" s="223">
        <f t="shared" si="120"/>
        <v>2736338.4062475995</v>
      </c>
      <c r="M75" s="223">
        <f t="shared" si="120"/>
        <v>4005825.1982475994</v>
      </c>
      <c r="N75" s="225"/>
      <c r="O75" s="225"/>
      <c r="P75" s="225"/>
      <c r="Q75" s="196">
        <v>0</v>
      </c>
      <c r="R75" s="196">
        <v>238000000</v>
      </c>
      <c r="S75" s="196">
        <v>24936000</v>
      </c>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row>
    <row r="76" spans="1:71" hidden="1" x14ac:dyDescent="0.35">
      <c r="A76" s="226" t="s">
        <v>365</v>
      </c>
      <c r="B76" s="227">
        <v>198623.45575404764</v>
      </c>
      <c r="C76" s="227">
        <v>7405.3396199999997</v>
      </c>
      <c r="D76" s="227">
        <v>7405.3396199999997</v>
      </c>
      <c r="E76" s="227">
        <v>206028.79537404765</v>
      </c>
      <c r="F76" s="227">
        <v>0</v>
      </c>
      <c r="G76" s="228"/>
      <c r="H76" s="228"/>
      <c r="I76" s="227">
        <v>0</v>
      </c>
      <c r="J76" s="227">
        <v>0</v>
      </c>
      <c r="K76" s="227">
        <v>1269486.7919999999</v>
      </c>
      <c r="L76" s="227">
        <v>2736338.4062475995</v>
      </c>
      <c r="M76" s="227">
        <v>4005825.1982475994</v>
      </c>
      <c r="N76" s="229"/>
      <c r="O76" s="229"/>
      <c r="P76" s="229"/>
      <c r="Q76" s="207">
        <v>0</v>
      </c>
      <c r="R76" s="207">
        <v>238000000</v>
      </c>
      <c r="S76" s="207">
        <v>24936000</v>
      </c>
    </row>
    <row r="77" spans="1:71" s="176" customFormat="1" hidden="1" x14ac:dyDescent="0.35">
      <c r="A77" s="218" t="s">
        <v>366</v>
      </c>
      <c r="B77" s="231">
        <f>B78+B84+B86+B89</f>
        <v>2945643.6300425031</v>
      </c>
      <c r="C77" s="231">
        <f t="shared" ref="C77:M77" si="121">C78+C84+C86+C89</f>
        <v>27584.861902694745</v>
      </c>
      <c r="D77" s="231">
        <f t="shared" si="121"/>
        <v>27584.861902694745</v>
      </c>
      <c r="E77" s="231">
        <f t="shared" si="121"/>
        <v>2973228.4919451978</v>
      </c>
      <c r="F77" s="231">
        <f t="shared" si="121"/>
        <v>0</v>
      </c>
      <c r="G77" s="220"/>
      <c r="H77" s="220"/>
      <c r="I77" s="231">
        <f t="shared" si="121"/>
        <v>9072.496799999999</v>
      </c>
      <c r="J77" s="231">
        <f t="shared" si="121"/>
        <v>7033.0961822368881</v>
      </c>
      <c r="K77" s="231">
        <f t="shared" si="121"/>
        <v>406989.76577746344</v>
      </c>
      <c r="L77" s="231">
        <f t="shared" si="121"/>
        <v>28826279.83834631</v>
      </c>
      <c r="M77" s="231">
        <f t="shared" si="121"/>
        <v>29249375.197106011</v>
      </c>
      <c r="N77" s="221"/>
      <c r="O77" s="221"/>
      <c r="P77" s="221"/>
      <c r="Q77" s="212">
        <v>2323000</v>
      </c>
      <c r="R77" s="212">
        <v>0</v>
      </c>
      <c r="S77" s="212">
        <v>46582000</v>
      </c>
    </row>
    <row r="78" spans="1:71" s="199" customFormat="1" hidden="1" x14ac:dyDescent="0.35">
      <c r="A78" s="222" t="s">
        <v>367</v>
      </c>
      <c r="B78" s="223">
        <f>SUM(B79:B80)</f>
        <v>262225.37885208474</v>
      </c>
      <c r="C78" s="223">
        <f t="shared" ref="C78:M78" si="122">SUM(C79:C80)</f>
        <v>0</v>
      </c>
      <c r="D78" s="223">
        <f t="shared" si="122"/>
        <v>0</v>
      </c>
      <c r="E78" s="223">
        <f t="shared" si="122"/>
        <v>262225.37885208474</v>
      </c>
      <c r="F78" s="223">
        <f t="shared" si="122"/>
        <v>0</v>
      </c>
      <c r="G78" s="224"/>
      <c r="H78" s="224"/>
      <c r="I78" s="223">
        <f t="shared" si="122"/>
        <v>9072.496799999999</v>
      </c>
      <c r="J78" s="223">
        <f t="shared" si="122"/>
        <v>0</v>
      </c>
      <c r="K78" s="223">
        <f t="shared" si="122"/>
        <v>0</v>
      </c>
      <c r="L78" s="223">
        <f t="shared" si="122"/>
        <v>3812964.0037799994</v>
      </c>
      <c r="M78" s="223">
        <f t="shared" si="122"/>
        <v>3822036.5005799993</v>
      </c>
      <c r="N78" s="225"/>
      <c r="O78" s="225"/>
      <c r="P78" s="225"/>
      <c r="Q78" s="196">
        <v>548000</v>
      </c>
      <c r="R78" s="196">
        <v>0</v>
      </c>
      <c r="S78" s="196">
        <v>27174000</v>
      </c>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row>
    <row r="79" spans="1:71" hidden="1" x14ac:dyDescent="0.35">
      <c r="A79" s="226" t="s">
        <v>368</v>
      </c>
      <c r="B79" s="227">
        <v>262225.37885208474</v>
      </c>
      <c r="C79" s="227">
        <v>0</v>
      </c>
      <c r="D79" s="227">
        <v>0</v>
      </c>
      <c r="E79" s="227">
        <v>262225.37885208474</v>
      </c>
      <c r="F79" s="227">
        <v>0</v>
      </c>
      <c r="G79" s="228"/>
      <c r="H79" s="228"/>
      <c r="I79" s="227">
        <v>9072.496799999999</v>
      </c>
      <c r="J79" s="227">
        <v>0</v>
      </c>
      <c r="K79" s="227">
        <v>0</v>
      </c>
      <c r="L79" s="227">
        <v>3812964.0037799994</v>
      </c>
      <c r="M79" s="227">
        <v>3822036.5005799993</v>
      </c>
      <c r="N79" s="229"/>
      <c r="O79" s="229"/>
      <c r="P79" s="229"/>
      <c r="Q79" s="207">
        <v>548000</v>
      </c>
      <c r="R79" s="207">
        <v>0</v>
      </c>
      <c r="S79" s="207">
        <v>27174000</v>
      </c>
    </row>
    <row r="80" spans="1:71" hidden="1" x14ac:dyDescent="0.35">
      <c r="A80" s="226" t="s">
        <v>369</v>
      </c>
      <c r="B80" s="227"/>
      <c r="C80" s="227"/>
      <c r="D80" s="227"/>
      <c r="E80" s="227"/>
      <c r="F80" s="227"/>
      <c r="G80" s="228"/>
      <c r="H80" s="228"/>
      <c r="I80" s="227"/>
      <c r="J80" s="227"/>
      <c r="K80" s="227"/>
      <c r="L80" s="227"/>
      <c r="M80" s="227"/>
      <c r="N80" s="229"/>
      <c r="O80" s="229"/>
      <c r="P80" s="229"/>
      <c r="Q80" s="207"/>
      <c r="R80" s="207"/>
      <c r="S80" s="207"/>
    </row>
    <row r="81" spans="1:71" s="199" customFormat="1" hidden="1" x14ac:dyDescent="0.35">
      <c r="A81" s="222" t="s">
        <v>371</v>
      </c>
      <c r="B81" s="223"/>
      <c r="C81" s="223"/>
      <c r="D81" s="223"/>
      <c r="E81" s="223"/>
      <c r="F81" s="223"/>
      <c r="G81" s="224"/>
      <c r="H81" s="224"/>
      <c r="I81" s="223"/>
      <c r="J81" s="223"/>
      <c r="K81" s="223"/>
      <c r="L81" s="223"/>
      <c r="M81" s="223"/>
      <c r="N81" s="225"/>
      <c r="O81" s="225"/>
      <c r="P81" s="225"/>
      <c r="Q81" s="196">
        <v>0</v>
      </c>
      <c r="R81" s="196">
        <v>0</v>
      </c>
      <c r="S81" s="196">
        <v>0</v>
      </c>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row>
    <row r="82" spans="1:71" hidden="1" x14ac:dyDescent="0.35">
      <c r="A82" s="226" t="s">
        <v>372</v>
      </c>
      <c r="B82" s="227"/>
      <c r="C82" s="227"/>
      <c r="D82" s="227"/>
      <c r="E82" s="227"/>
      <c r="F82" s="227"/>
      <c r="G82" s="228"/>
      <c r="H82" s="228"/>
      <c r="I82" s="227"/>
      <c r="J82" s="227"/>
      <c r="K82" s="227"/>
      <c r="L82" s="227"/>
      <c r="M82" s="227"/>
      <c r="N82" s="229"/>
      <c r="O82" s="229"/>
      <c r="P82" s="229"/>
      <c r="Q82" s="207">
        <v>0</v>
      </c>
      <c r="R82" s="207">
        <v>0</v>
      </c>
      <c r="S82" s="207">
        <v>0</v>
      </c>
    </row>
    <row r="83" spans="1:71" hidden="1" x14ac:dyDescent="0.35">
      <c r="A83" s="226" t="s">
        <v>373</v>
      </c>
      <c r="B83" s="227"/>
      <c r="C83" s="227"/>
      <c r="D83" s="227"/>
      <c r="E83" s="227"/>
      <c r="F83" s="227"/>
      <c r="G83" s="228"/>
      <c r="H83" s="228"/>
      <c r="I83" s="227"/>
      <c r="J83" s="227"/>
      <c r="K83" s="227"/>
      <c r="L83" s="227"/>
      <c r="M83" s="227"/>
      <c r="N83" s="229"/>
      <c r="O83" s="229"/>
      <c r="P83" s="229"/>
      <c r="Q83" s="207"/>
      <c r="R83" s="207"/>
      <c r="S83" s="207"/>
    </row>
    <row r="84" spans="1:71" s="199" customFormat="1" hidden="1" x14ac:dyDescent="0.35">
      <c r="A84" s="222" t="s">
        <v>374</v>
      </c>
      <c r="B84" s="223">
        <f>B85</f>
        <v>2165897.9866697136</v>
      </c>
      <c r="C84" s="223">
        <f t="shared" ref="C84:M84" si="123">C85</f>
        <v>0</v>
      </c>
      <c r="D84" s="223">
        <f t="shared" si="123"/>
        <v>0</v>
      </c>
      <c r="E84" s="223">
        <f t="shared" si="123"/>
        <v>2165897.9866697136</v>
      </c>
      <c r="F84" s="223">
        <f t="shared" si="123"/>
        <v>0</v>
      </c>
      <c r="G84" s="224"/>
      <c r="H84" s="224"/>
      <c r="I84" s="223">
        <f t="shared" si="123"/>
        <v>0</v>
      </c>
      <c r="J84" s="223">
        <f t="shared" si="123"/>
        <v>0</v>
      </c>
      <c r="K84" s="223">
        <f t="shared" si="123"/>
        <v>0</v>
      </c>
      <c r="L84" s="223">
        <f t="shared" si="123"/>
        <v>15891004.298889663</v>
      </c>
      <c r="M84" s="223">
        <f t="shared" si="123"/>
        <v>15891004.298889663</v>
      </c>
      <c r="N84" s="225"/>
      <c r="O84" s="225"/>
      <c r="P84" s="225"/>
      <c r="Q84" s="196">
        <v>983000</v>
      </c>
      <c r="R84" s="196">
        <v>0</v>
      </c>
      <c r="S84" s="196">
        <v>8607000</v>
      </c>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row>
    <row r="85" spans="1:71" hidden="1" x14ac:dyDescent="0.35">
      <c r="A85" s="226" t="s">
        <v>375</v>
      </c>
      <c r="B85" s="227">
        <v>2165897.9866697136</v>
      </c>
      <c r="C85" s="227">
        <v>0</v>
      </c>
      <c r="D85" s="227">
        <v>0</v>
      </c>
      <c r="E85" s="227">
        <v>2165897.9866697136</v>
      </c>
      <c r="F85" s="227">
        <v>0</v>
      </c>
      <c r="G85" s="228"/>
      <c r="H85" s="228"/>
      <c r="I85" s="227">
        <v>0</v>
      </c>
      <c r="J85" s="227">
        <v>0</v>
      </c>
      <c r="K85" s="227">
        <v>0</v>
      </c>
      <c r="L85" s="227">
        <v>15891004.298889663</v>
      </c>
      <c r="M85" s="227">
        <v>15891004.298889663</v>
      </c>
      <c r="N85" s="229"/>
      <c r="O85" s="229"/>
      <c r="P85" s="229"/>
      <c r="Q85" s="207">
        <v>983000</v>
      </c>
      <c r="R85" s="207">
        <v>0</v>
      </c>
      <c r="S85" s="207">
        <v>8607000</v>
      </c>
    </row>
    <row r="86" spans="1:71" s="199" customFormat="1" hidden="1" x14ac:dyDescent="0.35">
      <c r="A86" s="222" t="s">
        <v>376</v>
      </c>
      <c r="B86" s="223">
        <f>SUM(B87:B88)</f>
        <v>51304.365377700509</v>
      </c>
      <c r="C86" s="223">
        <f t="shared" ref="C86:M86" si="124">SUM(C87:C88)</f>
        <v>27584.861902694745</v>
      </c>
      <c r="D86" s="223">
        <f t="shared" si="124"/>
        <v>27584.861902694745</v>
      </c>
      <c r="E86" s="223">
        <f t="shared" si="124"/>
        <v>78889.227280395266</v>
      </c>
      <c r="F86" s="223">
        <f t="shared" si="124"/>
        <v>0</v>
      </c>
      <c r="G86" s="224"/>
      <c r="H86" s="224"/>
      <c r="I86" s="223">
        <f t="shared" si="124"/>
        <v>0</v>
      </c>
      <c r="J86" s="223">
        <f t="shared" si="124"/>
        <v>7033.0961822368881</v>
      </c>
      <c r="K86" s="223">
        <f t="shared" si="124"/>
        <v>406989.76577746344</v>
      </c>
      <c r="L86" s="223">
        <f t="shared" si="124"/>
        <v>926731.07011556858</v>
      </c>
      <c r="M86" s="223">
        <f t="shared" si="124"/>
        <v>1340753.9320752688</v>
      </c>
      <c r="N86" s="225"/>
      <c r="O86" s="225"/>
      <c r="P86" s="225"/>
      <c r="Q86" s="196">
        <v>195000</v>
      </c>
      <c r="R86" s="196">
        <v>0</v>
      </c>
      <c r="S86" s="196">
        <v>5243000</v>
      </c>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c r="BR86" s="198"/>
      <c r="BS86" s="198"/>
    </row>
    <row r="87" spans="1:71" hidden="1" x14ac:dyDescent="0.35">
      <c r="A87" s="226" t="s">
        <v>377</v>
      </c>
      <c r="B87" s="227">
        <v>50154.313843225347</v>
      </c>
      <c r="C87" s="227">
        <v>24360.971318174747</v>
      </c>
      <c r="D87" s="227">
        <v>24360.971318174747</v>
      </c>
      <c r="E87" s="227">
        <v>74515.285161400097</v>
      </c>
      <c r="F87" s="227">
        <v>0</v>
      </c>
      <c r="G87" s="228"/>
      <c r="H87" s="228"/>
      <c r="I87" s="227">
        <v>0</v>
      </c>
      <c r="J87" s="227">
        <v>0.56124640000000003</v>
      </c>
      <c r="K87" s="227">
        <v>359424.16698946344</v>
      </c>
      <c r="L87" s="227">
        <v>904412.2240230022</v>
      </c>
      <c r="M87" s="227">
        <v>1263836.9522588656</v>
      </c>
      <c r="N87" s="229"/>
      <c r="O87" s="229"/>
      <c r="P87" s="229"/>
      <c r="Q87" s="207">
        <v>129000</v>
      </c>
      <c r="R87" s="207">
        <v>0</v>
      </c>
      <c r="S87" s="207">
        <v>2969000</v>
      </c>
    </row>
    <row r="88" spans="1:71" hidden="1" x14ac:dyDescent="0.35">
      <c r="A88" s="226" t="s">
        <v>378</v>
      </c>
      <c r="B88" s="227">
        <v>1150.0515344751643</v>
      </c>
      <c r="C88" s="227">
        <v>3223.8905845200002</v>
      </c>
      <c r="D88" s="227">
        <v>3223.8905845200002</v>
      </c>
      <c r="E88" s="227">
        <v>4373.9421189951645</v>
      </c>
      <c r="F88" s="227">
        <v>0</v>
      </c>
      <c r="G88" s="228"/>
      <c r="H88" s="228"/>
      <c r="I88" s="227">
        <v>0</v>
      </c>
      <c r="J88" s="227">
        <v>7032.5349358368885</v>
      </c>
      <c r="K88" s="227">
        <v>47565.598787999996</v>
      </c>
      <c r="L88" s="227">
        <v>22318.846092566415</v>
      </c>
      <c r="M88" s="227">
        <v>76916.979816403298</v>
      </c>
      <c r="N88" s="229"/>
      <c r="O88" s="229"/>
      <c r="P88" s="229"/>
      <c r="Q88" s="207">
        <v>66000</v>
      </c>
      <c r="R88" s="207">
        <v>0</v>
      </c>
      <c r="S88" s="207">
        <v>2274000</v>
      </c>
    </row>
    <row r="89" spans="1:71" s="199" customFormat="1" hidden="1" x14ac:dyDescent="0.35">
      <c r="A89" s="222" t="s">
        <v>379</v>
      </c>
      <c r="B89" s="223">
        <f>B90</f>
        <v>466215.8991430045</v>
      </c>
      <c r="C89" s="223">
        <f t="shared" ref="C89:M89" si="125">C90</f>
        <v>0</v>
      </c>
      <c r="D89" s="223">
        <f t="shared" si="125"/>
        <v>0</v>
      </c>
      <c r="E89" s="223">
        <f t="shared" si="125"/>
        <v>466215.8991430045</v>
      </c>
      <c r="F89" s="223">
        <f t="shared" si="125"/>
        <v>0</v>
      </c>
      <c r="G89" s="224"/>
      <c r="H89" s="224"/>
      <c r="I89" s="223">
        <f t="shared" si="125"/>
        <v>0</v>
      </c>
      <c r="J89" s="223">
        <f t="shared" si="125"/>
        <v>0</v>
      </c>
      <c r="K89" s="223">
        <f t="shared" si="125"/>
        <v>0</v>
      </c>
      <c r="L89" s="223">
        <f t="shared" si="125"/>
        <v>8195580.4655610789</v>
      </c>
      <c r="M89" s="223">
        <f t="shared" si="125"/>
        <v>8195580.4655610789</v>
      </c>
      <c r="N89" s="225"/>
      <c r="O89" s="225"/>
      <c r="P89" s="225"/>
      <c r="Q89" s="196">
        <v>597000</v>
      </c>
      <c r="R89" s="196">
        <v>0</v>
      </c>
      <c r="S89" s="196">
        <v>5558000</v>
      </c>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row>
    <row r="90" spans="1:71" hidden="1" x14ac:dyDescent="0.35">
      <c r="A90" s="226" t="s">
        <v>380</v>
      </c>
      <c r="B90" s="227">
        <v>466215.8991430045</v>
      </c>
      <c r="C90" s="227">
        <v>0</v>
      </c>
      <c r="D90" s="227">
        <v>0</v>
      </c>
      <c r="E90" s="227">
        <v>466215.8991430045</v>
      </c>
      <c r="F90" s="227">
        <v>0</v>
      </c>
      <c r="G90" s="228"/>
      <c r="H90" s="228"/>
      <c r="I90" s="227">
        <v>0</v>
      </c>
      <c r="J90" s="227">
        <v>0</v>
      </c>
      <c r="K90" s="227">
        <v>0</v>
      </c>
      <c r="L90" s="227">
        <v>8195580.4655610789</v>
      </c>
      <c r="M90" s="227">
        <v>8195580.4655610789</v>
      </c>
      <c r="N90" s="229"/>
      <c r="O90" s="229"/>
      <c r="P90" s="229"/>
      <c r="Q90" s="207">
        <v>597000</v>
      </c>
      <c r="R90" s="207">
        <v>0</v>
      </c>
      <c r="S90" s="207">
        <v>5558000</v>
      </c>
    </row>
    <row r="91" spans="1:71" s="176" customFormat="1" hidden="1" x14ac:dyDescent="0.35">
      <c r="A91" s="218" t="s">
        <v>381</v>
      </c>
      <c r="B91" s="231">
        <f>B92+B99</f>
        <v>1956763.703839516</v>
      </c>
      <c r="C91" s="231">
        <f t="shared" ref="C91:M91" si="126">C92+C99</f>
        <v>676882.57603697898</v>
      </c>
      <c r="D91" s="231">
        <f t="shared" si="126"/>
        <v>534005.70181069954</v>
      </c>
      <c r="E91" s="231">
        <f t="shared" si="126"/>
        <v>2490769.4056502157</v>
      </c>
      <c r="F91" s="231">
        <f t="shared" si="126"/>
        <v>0</v>
      </c>
      <c r="G91" s="220"/>
      <c r="H91" s="220"/>
      <c r="I91" s="231">
        <f t="shared" si="126"/>
        <v>1846761.4785599997</v>
      </c>
      <c r="J91" s="231">
        <f t="shared" si="126"/>
        <v>465332.46227906528</v>
      </c>
      <c r="K91" s="231">
        <f t="shared" si="126"/>
        <v>9173874.9758112002</v>
      </c>
      <c r="L91" s="231">
        <f t="shared" si="126"/>
        <v>23399988.054036554</v>
      </c>
      <c r="M91" s="231">
        <f t="shared" si="126"/>
        <v>34885956.970686823</v>
      </c>
      <c r="N91" s="221"/>
      <c r="O91" s="221"/>
      <c r="P91" s="221"/>
      <c r="Q91" s="212">
        <v>3194000</v>
      </c>
      <c r="R91" s="212">
        <v>0</v>
      </c>
      <c r="S91" s="212">
        <v>53595000</v>
      </c>
    </row>
    <row r="92" spans="1:71" s="199" customFormat="1" hidden="1" x14ac:dyDescent="0.35">
      <c r="A92" s="222" t="s">
        <v>382</v>
      </c>
      <c r="B92" s="223">
        <f>SUM(B93:B94)</f>
        <v>43825.405913972128</v>
      </c>
      <c r="C92" s="223">
        <f t="shared" ref="C92:M92" si="127">SUM(C93:C94)</f>
        <v>3651.4055200000007</v>
      </c>
      <c r="D92" s="223">
        <f t="shared" si="127"/>
        <v>3651.4055200000007</v>
      </c>
      <c r="E92" s="223">
        <f t="shared" si="127"/>
        <v>47476.811433972129</v>
      </c>
      <c r="F92" s="223">
        <f t="shared" si="127"/>
        <v>0</v>
      </c>
      <c r="G92" s="224"/>
      <c r="H92" s="224"/>
      <c r="I92" s="223">
        <f t="shared" si="127"/>
        <v>0</v>
      </c>
      <c r="J92" s="223">
        <f t="shared" si="127"/>
        <v>0</v>
      </c>
      <c r="K92" s="223">
        <f t="shared" si="127"/>
        <v>773238.81599999999</v>
      </c>
      <c r="L92" s="223">
        <f t="shared" si="127"/>
        <v>653905.65625673998</v>
      </c>
      <c r="M92" s="223">
        <f t="shared" si="127"/>
        <v>1427144.4722567401</v>
      </c>
      <c r="N92" s="225"/>
      <c r="O92" s="225"/>
      <c r="P92" s="225"/>
      <c r="Q92" s="196">
        <v>213000</v>
      </c>
      <c r="R92" s="196">
        <v>0</v>
      </c>
      <c r="S92" s="196">
        <v>2914000</v>
      </c>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row>
    <row r="93" spans="1:71" hidden="1" x14ac:dyDescent="0.35">
      <c r="A93" s="226" t="s">
        <v>383</v>
      </c>
      <c r="B93" s="227">
        <v>38248.316075431561</v>
      </c>
      <c r="C93" s="227">
        <v>3651.4055200000007</v>
      </c>
      <c r="D93" s="227">
        <v>3651.4055200000007</v>
      </c>
      <c r="E93" s="227">
        <v>41899.721595431562</v>
      </c>
      <c r="F93" s="227">
        <v>0</v>
      </c>
      <c r="G93" s="228"/>
      <c r="H93" s="228"/>
      <c r="I93" s="227">
        <v>0</v>
      </c>
      <c r="J93" s="227">
        <v>0</v>
      </c>
      <c r="K93" s="227">
        <v>773238.81599999999</v>
      </c>
      <c r="L93" s="227">
        <v>574867.47155130003</v>
      </c>
      <c r="M93" s="227">
        <v>1348106.2875513001</v>
      </c>
      <c r="N93" s="229"/>
      <c r="O93" s="229"/>
      <c r="P93" s="229"/>
      <c r="Q93" s="207">
        <v>213000</v>
      </c>
      <c r="R93" s="207"/>
      <c r="S93" s="207">
        <v>2914000</v>
      </c>
    </row>
    <row r="94" spans="1:71" hidden="1" x14ac:dyDescent="0.35">
      <c r="A94" s="226" t="s">
        <v>573</v>
      </c>
      <c r="B94" s="227">
        <v>5577.0898385405681</v>
      </c>
      <c r="C94" s="227">
        <v>0</v>
      </c>
      <c r="D94" s="227">
        <v>0</v>
      </c>
      <c r="E94" s="227">
        <v>5577.0898385405681</v>
      </c>
      <c r="F94" s="227">
        <v>0</v>
      </c>
      <c r="G94" s="228"/>
      <c r="H94" s="228"/>
      <c r="I94" s="227">
        <v>0</v>
      </c>
      <c r="J94" s="227">
        <v>0</v>
      </c>
      <c r="K94" s="227">
        <v>0</v>
      </c>
      <c r="L94" s="227">
        <v>79038.184705440013</v>
      </c>
      <c r="M94" s="227">
        <v>79038.184705440013</v>
      </c>
      <c r="N94" s="229"/>
      <c r="O94" s="229"/>
      <c r="P94" s="229"/>
      <c r="Q94" s="207"/>
      <c r="R94" s="207"/>
      <c r="S94" s="207"/>
    </row>
    <row r="95" spans="1:71" hidden="1" x14ac:dyDescent="0.35">
      <c r="A95" s="226" t="s">
        <v>373</v>
      </c>
      <c r="B95" s="227"/>
      <c r="C95" s="227"/>
      <c r="D95" s="227"/>
      <c r="E95" s="227"/>
      <c r="F95" s="227"/>
      <c r="G95" s="228"/>
      <c r="H95" s="228"/>
      <c r="I95" s="227"/>
      <c r="J95" s="227"/>
      <c r="K95" s="227"/>
      <c r="L95" s="227"/>
      <c r="M95" s="227"/>
      <c r="N95" s="229"/>
      <c r="O95" s="229"/>
      <c r="P95" s="229"/>
      <c r="Q95" s="207">
        <v>0</v>
      </c>
      <c r="R95" s="207">
        <v>0</v>
      </c>
      <c r="S95" s="207">
        <v>0</v>
      </c>
    </row>
    <row r="96" spans="1:71" hidden="1" x14ac:dyDescent="0.35">
      <c r="A96" s="226" t="s">
        <v>516</v>
      </c>
      <c r="B96" s="227"/>
      <c r="C96" s="227"/>
      <c r="D96" s="227"/>
      <c r="E96" s="227"/>
      <c r="F96" s="227"/>
      <c r="G96" s="228"/>
      <c r="H96" s="228"/>
      <c r="I96" s="227"/>
      <c r="J96" s="227"/>
      <c r="K96" s="227"/>
      <c r="L96" s="227"/>
      <c r="M96" s="227"/>
      <c r="N96" s="229"/>
      <c r="O96" s="229"/>
      <c r="P96" s="229"/>
      <c r="Q96" s="207"/>
      <c r="R96" s="207"/>
      <c r="S96" s="207"/>
    </row>
    <row r="97" spans="1:71" hidden="1" x14ac:dyDescent="0.35">
      <c r="A97" s="226" t="s">
        <v>517</v>
      </c>
      <c r="B97" s="227"/>
      <c r="C97" s="227"/>
      <c r="D97" s="227"/>
      <c r="E97" s="227"/>
      <c r="F97" s="227"/>
      <c r="G97" s="228"/>
      <c r="H97" s="228"/>
      <c r="I97" s="227"/>
      <c r="J97" s="227"/>
      <c r="K97" s="227"/>
      <c r="L97" s="227"/>
      <c r="M97" s="227"/>
      <c r="N97" s="229"/>
      <c r="O97" s="229"/>
      <c r="P97" s="229"/>
      <c r="Q97" s="207"/>
      <c r="R97" s="207"/>
      <c r="S97" s="207"/>
    </row>
    <row r="98" spans="1:71" hidden="1" x14ac:dyDescent="0.35">
      <c r="A98" s="226" t="s">
        <v>518</v>
      </c>
      <c r="B98" s="227"/>
      <c r="C98" s="227"/>
      <c r="D98" s="227"/>
      <c r="E98" s="227"/>
      <c r="F98" s="227"/>
      <c r="G98" s="228"/>
      <c r="H98" s="228"/>
      <c r="I98" s="227"/>
      <c r="J98" s="227"/>
      <c r="K98" s="227"/>
      <c r="L98" s="227"/>
      <c r="M98" s="227"/>
      <c r="N98" s="229"/>
      <c r="O98" s="229"/>
      <c r="P98" s="229"/>
      <c r="Q98" s="207"/>
      <c r="R98" s="207"/>
      <c r="S98" s="207"/>
    </row>
    <row r="99" spans="1:71" s="199" customFormat="1" hidden="1" x14ac:dyDescent="0.35">
      <c r="A99" s="222" t="s">
        <v>384</v>
      </c>
      <c r="B99" s="223">
        <f>B100+B109</f>
        <v>1912938.297925544</v>
      </c>
      <c r="C99" s="223">
        <f t="shared" ref="C99:M99" si="128">C100+C109</f>
        <v>673231.17051697895</v>
      </c>
      <c r="D99" s="223">
        <f t="shared" si="128"/>
        <v>530354.29629069951</v>
      </c>
      <c r="E99" s="223">
        <f t="shared" si="128"/>
        <v>2443292.5942162434</v>
      </c>
      <c r="F99" s="223">
        <f t="shared" si="128"/>
        <v>0</v>
      </c>
      <c r="G99" s="224"/>
      <c r="H99" s="224"/>
      <c r="I99" s="223">
        <f t="shared" si="128"/>
        <v>1846761.4785599997</v>
      </c>
      <c r="J99" s="223">
        <f t="shared" si="128"/>
        <v>465332.46227906528</v>
      </c>
      <c r="K99" s="223">
        <f t="shared" si="128"/>
        <v>8400636.1598112006</v>
      </c>
      <c r="L99" s="223">
        <f t="shared" si="128"/>
        <v>22746082.397779815</v>
      </c>
      <c r="M99" s="223">
        <f t="shared" si="128"/>
        <v>33458812.498430081</v>
      </c>
      <c r="N99" s="225"/>
      <c r="O99" s="225"/>
      <c r="P99" s="225"/>
      <c r="Q99" s="196">
        <v>2981000</v>
      </c>
      <c r="R99" s="196">
        <v>0</v>
      </c>
      <c r="S99" s="196">
        <v>50681000</v>
      </c>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row>
    <row r="100" spans="1:71" hidden="1" x14ac:dyDescent="0.35">
      <c r="A100" s="226" t="s">
        <v>385</v>
      </c>
      <c r="B100" s="227">
        <v>4936.2690581903544</v>
      </c>
      <c r="C100" s="227">
        <v>7514.2522147331647</v>
      </c>
      <c r="D100" s="227">
        <v>7514.2522147331647</v>
      </c>
      <c r="E100" s="227">
        <v>12450.521272923519</v>
      </c>
      <c r="F100" s="227">
        <v>0</v>
      </c>
      <c r="G100" s="228"/>
      <c r="H100" s="228"/>
      <c r="I100" s="227">
        <v>0</v>
      </c>
      <c r="J100" s="227">
        <v>0</v>
      </c>
      <c r="K100" s="227">
        <v>92718.637199999997</v>
      </c>
      <c r="L100" s="227">
        <v>77173.720594287806</v>
      </c>
      <c r="M100" s="227">
        <v>169892.35779428779</v>
      </c>
      <c r="N100" s="229"/>
      <c r="O100" s="229"/>
      <c r="P100" s="229"/>
      <c r="Q100" s="207">
        <v>14000</v>
      </c>
      <c r="R100" s="207">
        <v>0</v>
      </c>
      <c r="S100" s="207">
        <v>206000</v>
      </c>
    </row>
    <row r="101" spans="1:71" hidden="1" x14ac:dyDescent="0.35">
      <c r="A101" s="226" t="s">
        <v>373</v>
      </c>
      <c r="B101" s="227"/>
      <c r="C101" s="227"/>
      <c r="D101" s="227"/>
      <c r="E101" s="227"/>
      <c r="F101" s="227"/>
      <c r="G101" s="228"/>
      <c r="H101" s="228"/>
      <c r="I101" s="227"/>
      <c r="J101" s="227"/>
      <c r="K101" s="227"/>
      <c r="L101" s="227"/>
      <c r="M101" s="227"/>
      <c r="N101" s="229"/>
      <c r="O101" s="229"/>
      <c r="P101" s="229"/>
      <c r="Q101" s="207">
        <v>0</v>
      </c>
      <c r="R101" s="207">
        <v>0</v>
      </c>
      <c r="S101" s="207">
        <v>0</v>
      </c>
    </row>
    <row r="102" spans="1:71" hidden="1" x14ac:dyDescent="0.35">
      <c r="A102" s="226" t="s">
        <v>525</v>
      </c>
      <c r="B102" s="227"/>
      <c r="C102" s="227"/>
      <c r="D102" s="227"/>
      <c r="E102" s="227"/>
      <c r="F102" s="227"/>
      <c r="G102" s="228"/>
      <c r="H102" s="228"/>
      <c r="I102" s="227"/>
      <c r="J102" s="227"/>
      <c r="K102" s="227"/>
      <c r="L102" s="227"/>
      <c r="M102" s="227"/>
      <c r="N102" s="229"/>
      <c r="O102" s="229"/>
      <c r="P102" s="229"/>
      <c r="Q102" s="207"/>
      <c r="R102" s="207"/>
      <c r="S102" s="207"/>
    </row>
    <row r="103" spans="1:71" hidden="1" x14ac:dyDescent="0.35">
      <c r="A103" s="226" t="s">
        <v>526</v>
      </c>
      <c r="B103" s="227"/>
      <c r="C103" s="227"/>
      <c r="D103" s="227"/>
      <c r="E103" s="227"/>
      <c r="F103" s="227"/>
      <c r="G103" s="228"/>
      <c r="H103" s="228"/>
      <c r="I103" s="227"/>
      <c r="J103" s="227"/>
      <c r="K103" s="227"/>
      <c r="L103" s="227"/>
      <c r="M103" s="227"/>
      <c r="N103" s="229"/>
      <c r="O103" s="229"/>
      <c r="P103" s="229"/>
      <c r="Q103" s="207"/>
      <c r="R103" s="207"/>
      <c r="S103" s="207"/>
    </row>
    <row r="104" spans="1:71" hidden="1" x14ac:dyDescent="0.35">
      <c r="A104" s="226" t="s">
        <v>527</v>
      </c>
      <c r="B104" s="227"/>
      <c r="C104" s="227"/>
      <c r="D104" s="227"/>
      <c r="E104" s="227"/>
      <c r="F104" s="227"/>
      <c r="G104" s="228"/>
      <c r="H104" s="228"/>
      <c r="I104" s="227"/>
      <c r="J104" s="227"/>
      <c r="K104" s="227"/>
      <c r="L104" s="227"/>
      <c r="M104" s="227"/>
      <c r="N104" s="229"/>
      <c r="O104" s="229"/>
      <c r="P104" s="229"/>
      <c r="Q104" s="207"/>
      <c r="R104" s="207"/>
      <c r="S104" s="207"/>
    </row>
    <row r="105" spans="1:71" hidden="1" x14ac:dyDescent="0.35">
      <c r="A105" s="226" t="s">
        <v>528</v>
      </c>
      <c r="B105" s="227"/>
      <c r="C105" s="227"/>
      <c r="D105" s="227"/>
      <c r="E105" s="227"/>
      <c r="F105" s="227"/>
      <c r="G105" s="228"/>
      <c r="H105" s="228"/>
      <c r="I105" s="227"/>
      <c r="J105" s="227"/>
      <c r="K105" s="227"/>
      <c r="L105" s="227"/>
      <c r="M105" s="227"/>
      <c r="N105" s="229"/>
      <c r="O105" s="229"/>
      <c r="P105" s="229"/>
      <c r="Q105" s="207"/>
      <c r="R105" s="207"/>
      <c r="S105" s="207"/>
    </row>
    <row r="106" spans="1:71" hidden="1" x14ac:dyDescent="0.35">
      <c r="A106" s="226" t="s">
        <v>529</v>
      </c>
      <c r="B106" s="227"/>
      <c r="C106" s="227"/>
      <c r="D106" s="227"/>
      <c r="E106" s="227"/>
      <c r="F106" s="227"/>
      <c r="G106" s="228"/>
      <c r="H106" s="228"/>
      <c r="I106" s="227"/>
      <c r="J106" s="227"/>
      <c r="K106" s="227"/>
      <c r="L106" s="227"/>
      <c r="M106" s="227"/>
      <c r="N106" s="229"/>
      <c r="O106" s="229"/>
      <c r="P106" s="229"/>
      <c r="Q106" s="207"/>
      <c r="R106" s="207"/>
      <c r="S106" s="207"/>
    </row>
    <row r="107" spans="1:71" hidden="1" x14ac:dyDescent="0.35">
      <c r="A107" s="226" t="s">
        <v>530</v>
      </c>
      <c r="B107" s="227"/>
      <c r="C107" s="227"/>
      <c r="D107" s="227"/>
      <c r="E107" s="227"/>
      <c r="F107" s="227"/>
      <c r="G107" s="228"/>
      <c r="H107" s="228"/>
      <c r="I107" s="227"/>
      <c r="J107" s="227"/>
      <c r="K107" s="227"/>
      <c r="L107" s="227"/>
      <c r="M107" s="227"/>
      <c r="N107" s="229"/>
      <c r="O107" s="229"/>
      <c r="P107" s="229"/>
      <c r="Q107" s="207"/>
      <c r="R107" s="207"/>
      <c r="S107" s="207"/>
    </row>
    <row r="108" spans="1:71" hidden="1" x14ac:dyDescent="0.35">
      <c r="A108" s="226" t="s">
        <v>531</v>
      </c>
      <c r="B108" s="227"/>
      <c r="C108" s="227"/>
      <c r="D108" s="227"/>
      <c r="E108" s="227"/>
      <c r="F108" s="227"/>
      <c r="G108" s="228"/>
      <c r="H108" s="228"/>
      <c r="I108" s="227"/>
      <c r="J108" s="227"/>
      <c r="K108" s="227"/>
      <c r="L108" s="227"/>
      <c r="M108" s="227"/>
      <c r="N108" s="229"/>
      <c r="O108" s="229"/>
      <c r="P108" s="229"/>
      <c r="Q108" s="207"/>
      <c r="R108" s="207"/>
      <c r="S108" s="207"/>
    </row>
    <row r="109" spans="1:71" s="214" customFormat="1" hidden="1" x14ac:dyDescent="0.35">
      <c r="A109" s="232" t="s">
        <v>386</v>
      </c>
      <c r="B109" s="233">
        <f>SUM(B110:B116)</f>
        <v>1908002.0288673537</v>
      </c>
      <c r="C109" s="233">
        <f t="shared" ref="C109:M109" si="129">SUM(C110:C116)</f>
        <v>665716.91830224579</v>
      </c>
      <c r="D109" s="233">
        <f t="shared" si="129"/>
        <v>522840.04407596629</v>
      </c>
      <c r="E109" s="233">
        <f t="shared" si="129"/>
        <v>2430842.07294332</v>
      </c>
      <c r="F109" s="233">
        <f t="shared" si="129"/>
        <v>0</v>
      </c>
      <c r="G109" s="234"/>
      <c r="H109" s="234"/>
      <c r="I109" s="233">
        <f t="shared" si="129"/>
        <v>1846761.4785599997</v>
      </c>
      <c r="J109" s="233">
        <f t="shared" si="129"/>
        <v>465332.46227906528</v>
      </c>
      <c r="K109" s="233">
        <f t="shared" si="129"/>
        <v>8307917.5226112008</v>
      </c>
      <c r="L109" s="233">
        <f t="shared" si="129"/>
        <v>22668908.677185528</v>
      </c>
      <c r="M109" s="233">
        <f t="shared" si="129"/>
        <v>33288920.140635792</v>
      </c>
      <c r="N109" s="235"/>
      <c r="O109" s="235"/>
      <c r="P109" s="235"/>
      <c r="Q109" s="213">
        <v>2967000</v>
      </c>
      <c r="R109" s="213">
        <v>0</v>
      </c>
      <c r="S109" s="213">
        <v>50475000</v>
      </c>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row>
    <row r="110" spans="1:71" hidden="1" x14ac:dyDescent="0.35">
      <c r="A110" s="226" t="s">
        <v>574</v>
      </c>
      <c r="B110" s="227">
        <v>763813.77869732631</v>
      </c>
      <c r="C110" s="227">
        <v>418120.47552141978</v>
      </c>
      <c r="D110" s="227">
        <v>301369.04461545934</v>
      </c>
      <c r="E110" s="227">
        <v>1065182.8233127857</v>
      </c>
      <c r="F110" s="227"/>
      <c r="G110" s="228"/>
      <c r="H110" s="228"/>
      <c r="I110" s="227">
        <v>1514676.31272</v>
      </c>
      <c r="J110" s="227">
        <v>127013.16949773551</v>
      </c>
      <c r="K110" s="227">
        <v>5568331.2026272006</v>
      </c>
      <c r="L110" s="227">
        <v>7130105.8949974431</v>
      </c>
      <c r="M110" s="227">
        <v>14340126.579842381</v>
      </c>
      <c r="N110" s="229"/>
      <c r="O110" s="229"/>
      <c r="P110" s="229"/>
      <c r="Q110" s="207">
        <v>1315000</v>
      </c>
      <c r="R110" s="207">
        <v>0</v>
      </c>
      <c r="S110" s="207">
        <v>14438000</v>
      </c>
    </row>
    <row r="111" spans="1:71" hidden="1" x14ac:dyDescent="0.35">
      <c r="A111" s="226" t="s">
        <v>389</v>
      </c>
      <c r="B111" s="227">
        <v>228047.99112184215</v>
      </c>
      <c r="C111" s="227">
        <v>102546.92937994386</v>
      </c>
      <c r="D111" s="227">
        <v>81863.447780388611</v>
      </c>
      <c r="E111" s="227">
        <v>309911.43890223076</v>
      </c>
      <c r="F111" s="227"/>
      <c r="G111" s="228"/>
      <c r="H111" s="228"/>
      <c r="I111" s="227">
        <v>255214.24776000003</v>
      </c>
      <c r="J111" s="227">
        <v>130791.74649212681</v>
      </c>
      <c r="K111" s="227">
        <v>1010116.1230399995</v>
      </c>
      <c r="L111" s="227">
        <v>3261436.1689655222</v>
      </c>
      <c r="M111" s="227">
        <v>4657558.2862576488</v>
      </c>
      <c r="N111" s="229"/>
      <c r="O111" s="229"/>
      <c r="P111" s="229"/>
      <c r="Q111" s="207">
        <v>963000</v>
      </c>
      <c r="R111" s="207">
        <v>0</v>
      </c>
      <c r="S111" s="207">
        <v>22025000</v>
      </c>
    </row>
    <row r="112" spans="1:71" hidden="1" x14ac:dyDescent="0.35">
      <c r="A112" s="226" t="s">
        <v>391</v>
      </c>
      <c r="B112" s="227">
        <v>31558.17471807211</v>
      </c>
      <c r="C112" s="227">
        <v>630.43603063388014</v>
      </c>
      <c r="D112" s="227">
        <v>47.538171999999996</v>
      </c>
      <c r="E112" s="227">
        <v>31605.712890072111</v>
      </c>
      <c r="F112" s="227"/>
      <c r="G112" s="228"/>
      <c r="H112" s="228"/>
      <c r="I112" s="227">
        <v>7778.9735999999994</v>
      </c>
      <c r="J112" s="227">
        <v>0</v>
      </c>
      <c r="K112" s="227">
        <v>7778.9735999999994</v>
      </c>
      <c r="L112" s="227">
        <v>460260.43645337998</v>
      </c>
      <c r="M112" s="227">
        <v>475818.38365337998</v>
      </c>
      <c r="N112" s="229"/>
      <c r="O112" s="229"/>
      <c r="P112" s="229"/>
      <c r="Q112" s="207">
        <v>94000</v>
      </c>
      <c r="R112" s="207">
        <v>0</v>
      </c>
      <c r="S112" s="207">
        <v>2080000</v>
      </c>
    </row>
    <row r="113" spans="1:19" hidden="1" x14ac:dyDescent="0.35">
      <c r="A113" s="226" t="s">
        <v>392</v>
      </c>
      <c r="B113" s="227">
        <v>45108.236178657527</v>
      </c>
      <c r="C113" s="227">
        <v>53026.19893856594</v>
      </c>
      <c r="D113" s="227">
        <v>53038.482414425991</v>
      </c>
      <c r="E113" s="227">
        <v>98146.718593083526</v>
      </c>
      <c r="F113" s="227"/>
      <c r="G113" s="228"/>
      <c r="H113" s="228"/>
      <c r="I113" s="227">
        <v>0</v>
      </c>
      <c r="J113" s="227">
        <v>0</v>
      </c>
      <c r="K113" s="227">
        <v>654292.23840000003</v>
      </c>
      <c r="L113" s="227">
        <v>669504.09645329439</v>
      </c>
      <c r="M113" s="227">
        <v>1323796.3348532945</v>
      </c>
      <c r="N113" s="229"/>
      <c r="O113" s="229"/>
      <c r="P113" s="229"/>
      <c r="Q113" s="207">
        <v>91000</v>
      </c>
      <c r="R113" s="207"/>
      <c r="S113" s="207">
        <v>8446000</v>
      </c>
    </row>
    <row r="114" spans="1:19" hidden="1" x14ac:dyDescent="0.35">
      <c r="A114" s="236" t="s">
        <v>393</v>
      </c>
      <c r="B114" s="237">
        <v>111349.78133793104</v>
      </c>
      <c r="C114" s="237">
        <v>91392.486893838359</v>
      </c>
      <c r="D114" s="237">
        <v>86521.139555848524</v>
      </c>
      <c r="E114" s="237">
        <v>197870.92089377958</v>
      </c>
      <c r="F114" s="237"/>
      <c r="G114" s="238"/>
      <c r="H114" s="238"/>
      <c r="I114" s="237">
        <v>60301.136879999998</v>
      </c>
      <c r="J114" s="237">
        <v>207527.54628920293</v>
      </c>
      <c r="K114" s="237">
        <v>1067394.153744</v>
      </c>
      <c r="L114" s="237">
        <v>1565330.6057395865</v>
      </c>
      <c r="M114" s="237">
        <v>2900553.4426527894</v>
      </c>
      <c r="N114" s="239"/>
      <c r="O114" s="239"/>
      <c r="P114" s="239"/>
      <c r="Q114" s="240">
        <v>504000</v>
      </c>
      <c r="R114" s="240">
        <v>0</v>
      </c>
      <c r="S114" s="240">
        <v>3486000</v>
      </c>
    </row>
    <row r="115" spans="1:19" hidden="1" x14ac:dyDescent="0.35">
      <c r="A115" s="241" t="s">
        <v>395</v>
      </c>
      <c r="B115" s="201">
        <v>163176.80311662029</v>
      </c>
      <c r="C115" s="201">
        <v>0.39153784391277563</v>
      </c>
      <c r="D115" s="201">
        <v>0.39153784391277563</v>
      </c>
      <c r="E115" s="201">
        <v>163177.1946544642</v>
      </c>
      <c r="F115" s="201">
        <v>0</v>
      </c>
      <c r="G115" s="205"/>
      <c r="H115" s="205"/>
      <c r="I115" s="201">
        <v>8790.8076000000001</v>
      </c>
      <c r="J115" s="201">
        <v>0</v>
      </c>
      <c r="K115" s="201">
        <v>4.8311999999999999</v>
      </c>
      <c r="L115" s="201">
        <v>2905847.18552115</v>
      </c>
      <c r="M115" s="201">
        <v>2914642.8243211498</v>
      </c>
      <c r="N115" s="241"/>
      <c r="O115" s="241"/>
      <c r="P115" s="241"/>
      <c r="Q115" s="207"/>
      <c r="R115" s="207"/>
      <c r="S115" s="207"/>
    </row>
    <row r="116" spans="1:19" hidden="1" x14ac:dyDescent="0.35">
      <c r="A116" s="241" t="s">
        <v>396</v>
      </c>
      <c r="B116" s="201">
        <v>564947.26369690418</v>
      </c>
      <c r="C116" s="201" t="s">
        <v>575</v>
      </c>
      <c r="D116" s="201">
        <v>0</v>
      </c>
      <c r="E116" s="201">
        <v>564947.26369690418</v>
      </c>
      <c r="F116" s="201">
        <v>0</v>
      </c>
      <c r="G116" s="205"/>
      <c r="H116" s="205"/>
      <c r="I116" s="201">
        <v>0</v>
      </c>
      <c r="J116" s="201">
        <v>0</v>
      </c>
      <c r="K116" s="201">
        <v>0</v>
      </c>
      <c r="L116" s="201">
        <v>6676424.2890551509</v>
      </c>
      <c r="M116" s="201">
        <v>6676424.2890551509</v>
      </c>
      <c r="N116" s="241"/>
      <c r="O116" s="241"/>
      <c r="P116" s="241"/>
      <c r="Q116" s="207"/>
      <c r="R116" s="207"/>
      <c r="S116" s="207"/>
    </row>
    <row r="117" spans="1:19" x14ac:dyDescent="0.35">
      <c r="A117" s="215"/>
      <c r="B117" s="215"/>
      <c r="C117" s="215"/>
      <c r="D117" s="215"/>
      <c r="E117" s="215"/>
      <c r="F117" s="215"/>
      <c r="G117" s="216"/>
      <c r="H117" s="216"/>
      <c r="I117" s="215"/>
      <c r="J117" s="215"/>
      <c r="K117" s="215"/>
      <c r="L117" s="215"/>
      <c r="M117" s="242">
        <v>0</v>
      </c>
      <c r="N117" s="215"/>
      <c r="O117" s="215"/>
      <c r="P117" s="215"/>
      <c r="Q117" s="217"/>
      <c r="R117" s="217"/>
      <c r="S117" s="217"/>
    </row>
    <row r="118" spans="1:19" x14ac:dyDescent="0.35">
      <c r="A118" s="215"/>
      <c r="B118" s="242">
        <f>ROUND(B60, -3)</f>
        <v>0</v>
      </c>
      <c r="C118" s="215"/>
      <c r="D118" s="215"/>
      <c r="E118" s="215"/>
      <c r="F118" s="215"/>
      <c r="G118" s="216"/>
      <c r="H118" s="216"/>
      <c r="I118" s="215"/>
      <c r="J118" s="215"/>
      <c r="K118" s="215"/>
      <c r="L118" s="215"/>
      <c r="M118" s="215"/>
      <c r="N118" s="215"/>
      <c r="O118" s="215"/>
      <c r="P118" s="215"/>
      <c r="Q118" s="217"/>
      <c r="R118" s="217"/>
      <c r="S118" s="217"/>
    </row>
    <row r="120" spans="1:19" x14ac:dyDescent="0.35">
      <c r="A120" s="243" t="s">
        <v>543</v>
      </c>
      <c r="B120" s="1033" t="s">
        <v>576</v>
      </c>
      <c r="C120" s="1033"/>
      <c r="D120" s="1033"/>
      <c r="E120" s="1033"/>
      <c r="F120" s="1033"/>
      <c r="G120" s="1033"/>
      <c r="H120" s="1033"/>
    </row>
    <row r="121" spans="1:19" x14ac:dyDescent="0.35">
      <c r="A121" s="244"/>
      <c r="B121" s="1033"/>
      <c r="C121" s="1033"/>
      <c r="D121" s="1033"/>
      <c r="E121" s="1033"/>
      <c r="F121" s="1033"/>
      <c r="G121" s="1033"/>
      <c r="H121" s="1033"/>
    </row>
    <row r="122" spans="1:19" x14ac:dyDescent="0.35">
      <c r="A122" s="244"/>
      <c r="B122" s="1033"/>
      <c r="C122" s="1033"/>
      <c r="D122" s="1033"/>
      <c r="E122" s="1033"/>
      <c r="F122" s="1033"/>
      <c r="G122" s="1033"/>
      <c r="H122" s="1033"/>
    </row>
  </sheetData>
  <mergeCells count="4">
    <mergeCell ref="B120:H122"/>
    <mergeCell ref="B1:H1"/>
    <mergeCell ref="I1:P1"/>
    <mergeCell ref="Q1:S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E6EEC-570E-4549-84D6-6F05D3FF7BB6}">
  <dimension ref="A1:BS122"/>
  <sheetViews>
    <sheetView showGridLines="0" zoomScaleNormal="100" workbookViewId="0">
      <pane xSplit="1" ySplit="2" topLeftCell="B3" activePane="bottomRight" state="frozen"/>
      <selection pane="topRight" activeCell="H1" sqref="H1:O1"/>
      <selection pane="bottomLeft" activeCell="H1" sqref="H1:O1"/>
      <selection pane="bottomRight"/>
    </sheetView>
  </sheetViews>
  <sheetFormatPr defaultColWidth="9.1796875" defaultRowHeight="14.5" x14ac:dyDescent="0.35"/>
  <cols>
    <col min="1" max="1" width="47.81640625" style="748" bestFit="1" customWidth="1"/>
    <col min="2" max="5" width="20.54296875" style="748" customWidth="1"/>
    <col min="6" max="6" width="20.54296875" style="748" hidden="1" customWidth="1"/>
    <col min="7" max="8" width="20.54296875" style="821" customWidth="1"/>
    <col min="9" max="19" width="20.54296875" style="748" customWidth="1"/>
    <col min="20" max="16384" width="9.1796875" style="748"/>
  </cols>
  <sheetData>
    <row r="1" spans="1:71" s="582" customFormat="1" ht="15" thickBot="1" x14ac:dyDescent="0.4">
      <c r="B1" s="1037" t="s">
        <v>550</v>
      </c>
      <c r="C1" s="1038"/>
      <c r="D1" s="1038"/>
      <c r="E1" s="1038"/>
      <c r="F1" s="1038"/>
      <c r="G1" s="1038"/>
      <c r="H1" s="1039"/>
      <c r="I1" s="1037" t="s">
        <v>551</v>
      </c>
      <c r="J1" s="1038"/>
      <c r="K1" s="1038"/>
      <c r="L1" s="1038"/>
      <c r="M1" s="1038"/>
      <c r="N1" s="1038"/>
      <c r="O1" s="1038"/>
      <c r="P1" s="1039"/>
      <c r="Q1" s="1037" t="s">
        <v>552</v>
      </c>
      <c r="R1" s="1038"/>
      <c r="S1" s="1039"/>
    </row>
    <row r="2" spans="1:71" s="581" customFormat="1" ht="29" x14ac:dyDescent="0.35">
      <c r="A2" s="710"/>
      <c r="B2" s="711" t="s">
        <v>553</v>
      </c>
      <c r="C2" s="712" t="s">
        <v>554</v>
      </c>
      <c r="D2" s="712" t="s">
        <v>555</v>
      </c>
      <c r="E2" s="712" t="s">
        <v>556</v>
      </c>
      <c r="F2" s="712" t="s">
        <v>557</v>
      </c>
      <c r="G2" s="713" t="s">
        <v>558</v>
      </c>
      <c r="H2" s="714" t="s">
        <v>559</v>
      </c>
      <c r="I2" s="711" t="s">
        <v>560</v>
      </c>
      <c r="J2" s="712" t="s">
        <v>561</v>
      </c>
      <c r="K2" s="712" t="s">
        <v>562</v>
      </c>
      <c r="L2" s="712" t="s">
        <v>563</v>
      </c>
      <c r="M2" s="712" t="s">
        <v>564</v>
      </c>
      <c r="N2" s="712" t="s">
        <v>565</v>
      </c>
      <c r="O2" s="713" t="s">
        <v>566</v>
      </c>
      <c r="P2" s="714" t="s">
        <v>567</v>
      </c>
      <c r="Q2" s="715" t="s">
        <v>409</v>
      </c>
      <c r="R2" s="716" t="s">
        <v>410</v>
      </c>
      <c r="S2" s="717" t="s">
        <v>411</v>
      </c>
    </row>
    <row r="3" spans="1:71" s="582" customFormat="1" x14ac:dyDescent="0.35">
      <c r="A3" s="718" t="s">
        <v>348</v>
      </c>
      <c r="B3" s="719">
        <f>B5+B21+B32+B4</f>
        <v>6134000</v>
      </c>
      <c r="C3" s="720">
        <f>C5+C21+C32+C4</f>
        <v>1266000</v>
      </c>
      <c r="D3" s="720">
        <f>D5+D21+D32+D4</f>
        <v>971000</v>
      </c>
      <c r="E3" s="720">
        <f>E5+E21+E32+E4</f>
        <v>7105000</v>
      </c>
      <c r="F3" s="720">
        <f>F5+F21+F32+F4</f>
        <v>0</v>
      </c>
      <c r="G3" s="721">
        <f>(E3-E14-E20)/Q3</f>
        <v>0.96806674338319909</v>
      </c>
      <c r="H3" s="722">
        <f t="shared" ref="H3:H5" si="0">E3/S3</f>
        <v>4.358842222794812E-2</v>
      </c>
      <c r="I3" s="719">
        <f>I5+I21+I32+I4</f>
        <v>1107000</v>
      </c>
      <c r="J3" s="720">
        <f>J5+J21+J32+J4</f>
        <v>66000</v>
      </c>
      <c r="K3" s="720">
        <f>K5+K21+K32+K4</f>
        <v>16093000</v>
      </c>
      <c r="L3" s="720">
        <f>L5+L21+L32+L4</f>
        <v>66346000</v>
      </c>
      <c r="M3" s="720">
        <f>M5+M21+M32+M4</f>
        <v>83614000</v>
      </c>
      <c r="N3" s="723">
        <f>(I3+J3)/M3</f>
        <v>1.4028751166072667E-2</v>
      </c>
      <c r="O3" s="724">
        <f>(M3-M19-M13)/Q3</f>
        <v>11.298906789413119</v>
      </c>
      <c r="P3" s="725">
        <f>M3/S3</f>
        <v>0.51296303112845243</v>
      </c>
      <c r="Q3" s="726">
        <f>Q5+Q21+Q32+Q4</f>
        <v>6952000</v>
      </c>
      <c r="R3" s="727">
        <f>R5+R21+R32+R4</f>
        <v>431229000</v>
      </c>
      <c r="S3" s="728">
        <f>S5+S21+S32+S4</f>
        <v>163002000</v>
      </c>
    </row>
    <row r="4" spans="1:71" s="582" customFormat="1" x14ac:dyDescent="0.35">
      <c r="A4" s="729" t="s">
        <v>568</v>
      </c>
      <c r="B4" s="730">
        <f>ROUND('GHG and Energy Use Dec'!B4,-3)</f>
        <v>3000</v>
      </c>
      <c r="C4" s="730">
        <f>ROUND('GHG and Energy Use Dec'!C4,-3)</f>
        <v>0</v>
      </c>
      <c r="D4" s="730">
        <f>ROUND('GHG and Energy Use Dec'!D4,-3)</f>
        <v>0</v>
      </c>
      <c r="E4" s="731">
        <f>+B4+D4</f>
        <v>3000</v>
      </c>
      <c r="F4" s="731"/>
      <c r="G4" s="732"/>
      <c r="H4" s="733"/>
      <c r="I4" s="730">
        <f>ROUND('GHG and Energy Use Dec'!I4,-3)</f>
        <v>0</v>
      </c>
      <c r="J4" s="730">
        <f>ROUND('GHG and Energy Use Dec'!J4,-3)</f>
        <v>0</v>
      </c>
      <c r="K4" s="730">
        <f>ROUND('GHG and Energy Use Dec'!K4,-3)</f>
        <v>0</v>
      </c>
      <c r="L4" s="730">
        <f>ROUND('GHG and Energy Use Dec'!L4,-3)</f>
        <v>34000</v>
      </c>
      <c r="M4" s="730">
        <f>ROUND('GHG and Energy Use Dec'!M4,-3)</f>
        <v>34000</v>
      </c>
      <c r="N4" s="734"/>
      <c r="O4" s="735"/>
      <c r="P4" s="736"/>
      <c r="Q4" s="737"/>
      <c r="R4" s="738"/>
      <c r="S4" s="739"/>
    </row>
    <row r="5" spans="1:71" s="582" customFormat="1" x14ac:dyDescent="0.35">
      <c r="A5" s="729" t="s">
        <v>349</v>
      </c>
      <c r="B5" s="730">
        <f>B6+B9+B11+B13+B15+B19</f>
        <v>962000</v>
      </c>
      <c r="C5" s="731">
        <f t="shared" ref="C5:L5" si="1">C6+C9+C11+C13+C15+C19</f>
        <v>352000</v>
      </c>
      <c r="D5" s="731">
        <f t="shared" si="1"/>
        <v>352000</v>
      </c>
      <c r="E5" s="731">
        <f>E6+E9+E11+E13+E15+E19</f>
        <v>1314000</v>
      </c>
      <c r="F5" s="731">
        <f t="shared" si="1"/>
        <v>0</v>
      </c>
      <c r="G5" s="732">
        <f>(E5-E14-E20)/Q5</f>
        <v>0.41022280471821754</v>
      </c>
      <c r="H5" s="733">
        <f t="shared" si="0"/>
        <v>2.5592084761607979E-2</v>
      </c>
      <c r="I5" s="730">
        <f t="shared" si="1"/>
        <v>1094000</v>
      </c>
      <c r="J5" s="731">
        <f t="shared" si="1"/>
        <v>0</v>
      </c>
      <c r="K5" s="731">
        <f t="shared" si="1"/>
        <v>3789000</v>
      </c>
      <c r="L5" s="731">
        <f t="shared" si="1"/>
        <v>13423000</v>
      </c>
      <c r="M5" s="731">
        <f>M6+M9+M11+M13+M15+M19</f>
        <v>18307000</v>
      </c>
      <c r="N5" s="734">
        <f t="shared" ref="N5:N59" si="2">(I5+J5)/M5</f>
        <v>5.9758562298574319E-2</v>
      </c>
      <c r="O5" s="735">
        <f>(M5-M13-M19)/Q5</f>
        <v>5.7854958497160336</v>
      </c>
      <c r="P5" s="736">
        <f t="shared" ref="P5:P56" si="3">M5/S5</f>
        <v>0.35655578061701465</v>
      </c>
      <c r="Q5" s="641">
        <f t="shared" ref="Q5:S5" si="4">Q6+Q9+Q11+Q13+Q15+Q19</f>
        <v>2289000</v>
      </c>
      <c r="R5" s="642">
        <f t="shared" si="4"/>
        <v>393341000</v>
      </c>
      <c r="S5" s="647">
        <f t="shared" si="4"/>
        <v>51344000</v>
      </c>
    </row>
    <row r="6" spans="1:71" s="749" customFormat="1" x14ac:dyDescent="0.35">
      <c r="A6" s="740" t="s">
        <v>351</v>
      </c>
      <c r="B6" s="741">
        <f>SUM(B7:B8)</f>
        <v>352000</v>
      </c>
      <c r="C6" s="742">
        <f t="shared" ref="C6:D6" si="5">SUM(C7:C8)</f>
        <v>0</v>
      </c>
      <c r="D6" s="742">
        <f t="shared" si="5"/>
        <v>0</v>
      </c>
      <c r="E6" s="742">
        <f>SUM(E7:E8)</f>
        <v>352000</v>
      </c>
      <c r="F6" s="742">
        <f t="shared" ref="F6" si="6">SUM(F7:F8)</f>
        <v>0</v>
      </c>
      <c r="G6" s="743">
        <f>E6/Q6</f>
        <v>0.50502152080344331</v>
      </c>
      <c r="H6" s="744">
        <f t="shared" ref="H6:H33" si="7">E6/S6</f>
        <v>7.0133492727634986E-2</v>
      </c>
      <c r="I6" s="741">
        <f>SUM(I7:I8)</f>
        <v>146000</v>
      </c>
      <c r="J6" s="742">
        <f t="shared" ref="J6:L6" si="8">SUM(J7:J8)</f>
        <v>0</v>
      </c>
      <c r="K6" s="742">
        <f t="shared" si="8"/>
        <v>0</v>
      </c>
      <c r="L6" s="742">
        <f t="shared" si="8"/>
        <v>4900000</v>
      </c>
      <c r="M6" s="742">
        <f>SUM(M7:M8)</f>
        <v>5046000</v>
      </c>
      <c r="N6" s="745">
        <f t="shared" si="2"/>
        <v>2.8933808957590169E-2</v>
      </c>
      <c r="O6" s="746">
        <f>M6/Q6</f>
        <v>7.2395982783357242</v>
      </c>
      <c r="P6" s="747">
        <f t="shared" si="3"/>
        <v>1.0053795576808129</v>
      </c>
      <c r="Q6" s="668">
        <f>SUM(Q7:Q8)</f>
        <v>697000</v>
      </c>
      <c r="R6" s="669">
        <f t="shared" ref="R6:S6" si="9">SUM(R7:R8)</f>
        <v>0</v>
      </c>
      <c r="S6" s="670">
        <f t="shared" si="9"/>
        <v>5019000</v>
      </c>
      <c r="T6" s="748"/>
      <c r="U6" s="748"/>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8"/>
      <c r="AV6" s="748"/>
      <c r="AW6" s="748"/>
      <c r="AX6" s="748"/>
      <c r="AY6" s="748"/>
      <c r="AZ6" s="748"/>
      <c r="BA6" s="748"/>
      <c r="BB6" s="748"/>
      <c r="BC6" s="748"/>
      <c r="BD6" s="748"/>
      <c r="BE6" s="748"/>
      <c r="BF6" s="748"/>
      <c r="BG6" s="748"/>
      <c r="BH6" s="748"/>
      <c r="BI6" s="748"/>
      <c r="BJ6" s="748"/>
      <c r="BK6" s="748"/>
      <c r="BL6" s="748"/>
      <c r="BM6" s="748"/>
      <c r="BN6" s="748"/>
      <c r="BO6" s="748"/>
      <c r="BP6" s="748"/>
      <c r="BQ6" s="748"/>
      <c r="BR6" s="748"/>
      <c r="BS6" s="748"/>
    </row>
    <row r="7" spans="1:71" x14ac:dyDescent="0.35">
      <c r="A7" s="750" t="s">
        <v>352</v>
      </c>
      <c r="B7" s="751">
        <f>ROUND('GHG and Energy Use Dec'!B7,-3)</f>
        <v>352000</v>
      </c>
      <c r="C7" s="751">
        <f>ROUND('GHG and Energy Use Dec'!C7,-3)</f>
        <v>0</v>
      </c>
      <c r="D7" s="751">
        <f>ROUND('GHG and Energy Use Dec'!D7,-3)</f>
        <v>0</v>
      </c>
      <c r="E7" s="752">
        <f>SUM(B7+D7)</f>
        <v>352000</v>
      </c>
      <c r="F7" s="752">
        <f t="shared" ref="F7:F20" si="10">ROUND(F63, -3)</f>
        <v>0</v>
      </c>
      <c r="G7" s="753">
        <f>E7/Q7</f>
        <v>0.50502152080344331</v>
      </c>
      <c r="H7" s="754">
        <f>E7/S7</f>
        <v>7.0133492727634986E-2</v>
      </c>
      <c r="I7" s="751">
        <f>ROUND('GHG and Energy Use Dec'!I7,-3)</f>
        <v>146000</v>
      </c>
      <c r="J7" s="751">
        <f>ROUND('GHG and Energy Use Dec'!J7,-3)</f>
        <v>0</v>
      </c>
      <c r="K7" s="751">
        <f>ROUND('GHG and Energy Use Dec'!K7,-3)</f>
        <v>0</v>
      </c>
      <c r="L7" s="751">
        <f>ROUND('GHG and Energy Use Dec'!L7,-3)</f>
        <v>4900000</v>
      </c>
      <c r="M7" s="751">
        <f>ROUND('GHG and Energy Use Dec'!M7,-3)</f>
        <v>5046000</v>
      </c>
      <c r="N7" s="755">
        <f>(I7+J7)/M7</f>
        <v>2.8933808957590169E-2</v>
      </c>
      <c r="O7" s="756">
        <f>M7/Q7</f>
        <v>7.2395982783357242</v>
      </c>
      <c r="P7" s="757">
        <f>M7/S7</f>
        <v>1.0053795576808129</v>
      </c>
      <c r="Q7" s="676">
        <f>ROUND('GHG and Energy Use Dec'!Q7,-3)</f>
        <v>697000</v>
      </c>
      <c r="R7" s="676">
        <f>ROUND('GHG and Energy Use Dec'!R7,-3)</f>
        <v>0</v>
      </c>
      <c r="S7" s="676">
        <f>ROUND('GHG and Energy Use Dec'!S7,-3)</f>
        <v>5019000</v>
      </c>
    </row>
    <row r="8" spans="1:71" hidden="1" x14ac:dyDescent="0.35">
      <c r="A8" s="750" t="s">
        <v>353</v>
      </c>
      <c r="B8" s="751">
        <f>ROUND('GHG and Energy Use Dec'!B8,-3)</f>
        <v>0</v>
      </c>
      <c r="C8" s="751">
        <f>ROUND('GHG and Energy Use Dec'!C8,-3)</f>
        <v>0</v>
      </c>
      <c r="D8" s="751">
        <f>ROUND('GHG and Energy Use Dec'!D8,-3)</f>
        <v>0</v>
      </c>
      <c r="E8" s="752">
        <f>SUM(B8+D8)</f>
        <v>0</v>
      </c>
      <c r="F8" s="752">
        <f t="shared" si="10"/>
        <v>0</v>
      </c>
      <c r="G8" s="753" t="e">
        <f>E8/Q8</f>
        <v>#DIV/0!</v>
      </c>
      <c r="H8" s="754" t="e">
        <f>E8/S8</f>
        <v>#DIV/0!</v>
      </c>
      <c r="I8" s="751">
        <f>ROUND('GHG and Energy Use Dec'!I8,-3)</f>
        <v>0</v>
      </c>
      <c r="J8" s="751">
        <f>ROUND('GHG and Energy Use Dec'!J8,-3)</f>
        <v>0</v>
      </c>
      <c r="K8" s="751">
        <f>ROUND('GHG and Energy Use Dec'!K8,-3)</f>
        <v>0</v>
      </c>
      <c r="L8" s="751">
        <f>ROUND('GHG and Energy Use Dec'!L8,-3)</f>
        <v>0</v>
      </c>
      <c r="M8" s="751">
        <f>ROUND('GHG and Energy Use Dec'!M8,-3)</f>
        <v>0</v>
      </c>
      <c r="N8" s="755" t="e">
        <f>(I8+J8)/M8</f>
        <v>#DIV/0!</v>
      </c>
      <c r="O8" s="756" t="e">
        <f t="shared" ref="O8:O12" si="11">M8/Q8</f>
        <v>#DIV/0!</v>
      </c>
      <c r="P8" s="757" t="e">
        <f t="shared" si="3"/>
        <v>#DIV/0!</v>
      </c>
      <c r="Q8" s="676">
        <f>ROUND('GHG and Energy Use Dec'!Q8,-3)</f>
        <v>0</v>
      </c>
      <c r="R8" s="676">
        <f>ROUND('GHG and Energy Use Dec'!R8,-3)</f>
        <v>0</v>
      </c>
      <c r="S8" s="676">
        <f>ROUND('GHG and Energy Use Dec'!S8,-3)</f>
        <v>0</v>
      </c>
    </row>
    <row r="9" spans="1:71" s="749" customFormat="1" ht="13.75" customHeight="1" x14ac:dyDescent="0.35">
      <c r="A9" s="740" t="s">
        <v>354</v>
      </c>
      <c r="B9" s="741">
        <f>B10</f>
        <v>110000</v>
      </c>
      <c r="C9" s="742">
        <f t="shared" ref="C9:D9" si="12">C10</f>
        <v>65000</v>
      </c>
      <c r="D9" s="742">
        <f t="shared" si="12"/>
        <v>65000</v>
      </c>
      <c r="E9" s="742">
        <f>E10</f>
        <v>175000</v>
      </c>
      <c r="F9" s="742">
        <f t="shared" ref="F9" si="13">F10</f>
        <v>0</v>
      </c>
      <c r="G9" s="743">
        <f>E9/Q9</f>
        <v>0.84134615384615385</v>
      </c>
      <c r="H9" s="744">
        <f t="shared" si="7"/>
        <v>4.0192926045016078E-2</v>
      </c>
      <c r="I9" s="741">
        <f>I10</f>
        <v>0</v>
      </c>
      <c r="J9" s="742">
        <f t="shared" ref="J9:L9" si="14">J10</f>
        <v>0</v>
      </c>
      <c r="K9" s="742">
        <f t="shared" si="14"/>
        <v>673000</v>
      </c>
      <c r="L9" s="742">
        <f t="shared" si="14"/>
        <v>1509000</v>
      </c>
      <c r="M9" s="742">
        <f>M10</f>
        <v>2182000</v>
      </c>
      <c r="N9" s="745">
        <f t="shared" si="2"/>
        <v>0</v>
      </c>
      <c r="O9" s="746">
        <f t="shared" si="11"/>
        <v>10.490384615384615</v>
      </c>
      <c r="P9" s="747">
        <f t="shared" si="3"/>
        <v>0.50114836931557194</v>
      </c>
      <c r="Q9" s="668">
        <f>Q10</f>
        <v>208000</v>
      </c>
      <c r="R9" s="669">
        <f t="shared" ref="R9:S9" si="15">R10</f>
        <v>0</v>
      </c>
      <c r="S9" s="670">
        <f t="shared" si="15"/>
        <v>4354000</v>
      </c>
      <c r="T9" s="748"/>
      <c r="U9" s="748"/>
      <c r="V9" s="748"/>
      <c r="W9" s="748"/>
      <c r="X9" s="748"/>
      <c r="Y9" s="748"/>
      <c r="Z9" s="748"/>
      <c r="AA9" s="748"/>
      <c r="AB9" s="748"/>
      <c r="AC9" s="748"/>
      <c r="AD9" s="748"/>
      <c r="AE9" s="748"/>
      <c r="AF9" s="748"/>
      <c r="AG9" s="748"/>
      <c r="AH9" s="748"/>
      <c r="AI9" s="748"/>
      <c r="AJ9" s="748"/>
      <c r="AK9" s="748"/>
      <c r="AL9" s="748"/>
      <c r="AM9" s="748"/>
      <c r="AN9" s="748"/>
      <c r="AO9" s="748"/>
      <c r="AP9" s="748"/>
      <c r="AQ9" s="748"/>
      <c r="AR9" s="748"/>
      <c r="AS9" s="748"/>
      <c r="AT9" s="748"/>
      <c r="AU9" s="748"/>
      <c r="AV9" s="748"/>
      <c r="AW9" s="748"/>
      <c r="AX9" s="748"/>
      <c r="AY9" s="748"/>
      <c r="AZ9" s="748"/>
      <c r="BA9" s="748"/>
      <c r="BB9" s="748"/>
      <c r="BC9" s="748"/>
      <c r="BD9" s="748"/>
      <c r="BE9" s="748"/>
      <c r="BF9" s="748"/>
      <c r="BG9" s="748"/>
      <c r="BH9" s="748"/>
      <c r="BI9" s="748"/>
      <c r="BJ9" s="748"/>
      <c r="BK9" s="748"/>
      <c r="BL9" s="748"/>
      <c r="BM9" s="748"/>
      <c r="BN9" s="748"/>
      <c r="BO9" s="748"/>
      <c r="BP9" s="748"/>
      <c r="BQ9" s="748"/>
      <c r="BR9" s="748"/>
      <c r="BS9" s="748"/>
    </row>
    <row r="10" spans="1:71" x14ac:dyDescent="0.35">
      <c r="A10" s="750" t="s">
        <v>355</v>
      </c>
      <c r="B10" s="751">
        <f>ROUND('GHG and Energy Use Dec'!B10,-3)</f>
        <v>110000</v>
      </c>
      <c r="C10" s="751">
        <f>ROUND('GHG and Energy Use Dec'!C10,-3)</f>
        <v>65000</v>
      </c>
      <c r="D10" s="751">
        <f>ROUND('GHG and Energy Use Dec'!D10,-3)</f>
        <v>65000</v>
      </c>
      <c r="E10" s="752">
        <f>SUM(B10+D10)</f>
        <v>175000</v>
      </c>
      <c r="F10" s="752">
        <f t="shared" si="10"/>
        <v>0</v>
      </c>
      <c r="G10" s="753">
        <f>E10/Q10</f>
        <v>0.84134615384615385</v>
      </c>
      <c r="H10" s="754">
        <f>E10/S10</f>
        <v>4.0192926045016078E-2</v>
      </c>
      <c r="I10" s="751">
        <f>ROUND('GHG and Energy Use Dec'!I10,-3)</f>
        <v>0</v>
      </c>
      <c r="J10" s="751">
        <f>ROUND('GHG and Energy Use Dec'!J10,-3)</f>
        <v>0</v>
      </c>
      <c r="K10" s="751">
        <f>ROUND('GHG and Energy Use Dec'!K10,-3)</f>
        <v>673000</v>
      </c>
      <c r="L10" s="751">
        <f>ROUND('GHG and Energy Use Dec'!L10,-3)</f>
        <v>1509000</v>
      </c>
      <c r="M10" s="751">
        <f>ROUND('GHG and Energy Use Dec'!M10,-3)</f>
        <v>2182000</v>
      </c>
      <c r="N10" s="755">
        <f>(I10+J10)/M10</f>
        <v>0</v>
      </c>
      <c r="O10" s="756">
        <f t="shared" si="11"/>
        <v>10.490384615384615</v>
      </c>
      <c r="P10" s="757">
        <f t="shared" si="3"/>
        <v>0.50114836931557194</v>
      </c>
      <c r="Q10" s="676">
        <f>ROUND('GHG and Energy Use Dec'!Q10,-3)</f>
        <v>208000</v>
      </c>
      <c r="R10" s="676">
        <f>ROUND('GHG and Energy Use Dec'!R10,-3)</f>
        <v>0</v>
      </c>
      <c r="S10" s="676">
        <f>ROUND('GHG and Energy Use Dec'!S10,-3)</f>
        <v>4354000</v>
      </c>
    </row>
    <row r="11" spans="1:71" s="749" customFormat="1" x14ac:dyDescent="0.35">
      <c r="A11" s="740" t="s">
        <v>356</v>
      </c>
      <c r="B11" s="741">
        <f>B12</f>
        <v>146000</v>
      </c>
      <c r="C11" s="742">
        <f t="shared" ref="C11:D11" si="16">C12</f>
        <v>0</v>
      </c>
      <c r="D11" s="742">
        <f t="shared" si="16"/>
        <v>0</v>
      </c>
      <c r="E11" s="742">
        <f>E12</f>
        <v>146000</v>
      </c>
      <c r="F11" s="742">
        <f t="shared" ref="F11" si="17">F12</f>
        <v>0</v>
      </c>
      <c r="G11" s="743">
        <f t="shared" ref="G11" si="18">E11/Q11</f>
        <v>0.17892156862745098</v>
      </c>
      <c r="H11" s="744">
        <f t="shared" si="7"/>
        <v>2.0071487489689305E-2</v>
      </c>
      <c r="I11" s="741">
        <f t="shared" ref="I11:K13" si="19">I12</f>
        <v>948000</v>
      </c>
      <c r="J11" s="742">
        <f t="shared" si="19"/>
        <v>0</v>
      </c>
      <c r="K11" s="742">
        <f t="shared" si="19"/>
        <v>0</v>
      </c>
      <c r="L11" s="742">
        <f>L12</f>
        <v>2094000</v>
      </c>
      <c r="M11" s="742">
        <f>M12</f>
        <v>3043000</v>
      </c>
      <c r="N11" s="745">
        <f t="shared" si="2"/>
        <v>0.31153466973381533</v>
      </c>
      <c r="O11" s="746">
        <f t="shared" si="11"/>
        <v>3.7291666666666665</v>
      </c>
      <c r="P11" s="747">
        <f t="shared" si="3"/>
        <v>0.41833929062414077</v>
      </c>
      <c r="Q11" s="668">
        <f>Q12</f>
        <v>816000</v>
      </c>
      <c r="R11" s="669">
        <f t="shared" ref="R11:S11" si="20">R12</f>
        <v>0</v>
      </c>
      <c r="S11" s="670">
        <f t="shared" si="20"/>
        <v>7274000</v>
      </c>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8"/>
      <c r="AY11" s="748"/>
      <c r="AZ11" s="748"/>
      <c r="BA11" s="748"/>
      <c r="BB11" s="748"/>
      <c r="BC11" s="748"/>
      <c r="BD11" s="748"/>
      <c r="BE11" s="748"/>
      <c r="BF11" s="748"/>
      <c r="BG11" s="748"/>
      <c r="BH11" s="748"/>
      <c r="BI11" s="748"/>
      <c r="BJ11" s="748"/>
      <c r="BK11" s="748"/>
      <c r="BL11" s="748"/>
      <c r="BM11" s="748"/>
      <c r="BN11" s="748"/>
      <c r="BO11" s="748"/>
      <c r="BP11" s="748"/>
      <c r="BQ11" s="748"/>
      <c r="BR11" s="748"/>
      <c r="BS11" s="748"/>
    </row>
    <row r="12" spans="1:71" x14ac:dyDescent="0.35">
      <c r="A12" s="750" t="s">
        <v>357</v>
      </c>
      <c r="B12" s="751">
        <f>ROUND('GHG and Energy Use Dec'!B12,-3)</f>
        <v>146000</v>
      </c>
      <c r="C12" s="751">
        <f>ROUND('GHG and Energy Use Dec'!C12,-3)</f>
        <v>0</v>
      </c>
      <c r="D12" s="751">
        <f>ROUND('GHG and Energy Use Dec'!D12,-3)</f>
        <v>0</v>
      </c>
      <c r="E12" s="752">
        <f>SUM(B12+D12)</f>
        <v>146000</v>
      </c>
      <c r="F12" s="752">
        <f t="shared" si="10"/>
        <v>0</v>
      </c>
      <c r="G12" s="753">
        <f>E12/Q12</f>
        <v>0.17892156862745098</v>
      </c>
      <c r="H12" s="754">
        <f>E12/S12</f>
        <v>2.0071487489689305E-2</v>
      </c>
      <c r="I12" s="751">
        <f>ROUND('GHG and Energy Use Dec'!I12,-3)</f>
        <v>948000</v>
      </c>
      <c r="J12" s="751">
        <f>ROUND('GHG and Energy Use Dec'!J12,-3)</f>
        <v>0</v>
      </c>
      <c r="K12" s="751">
        <f>ROUND('GHG and Energy Use Dec'!K12,-3)</f>
        <v>0</v>
      </c>
      <c r="L12" s="751">
        <f>ROUND('GHG and Energy Use Dec'!L12,-3)</f>
        <v>2094000</v>
      </c>
      <c r="M12" s="751">
        <f>ROUND('GHG and Energy Use Dec'!M12,-3)</f>
        <v>3043000</v>
      </c>
      <c r="N12" s="755">
        <f>(I12+J12)/M12</f>
        <v>0.31153466973381533</v>
      </c>
      <c r="O12" s="756">
        <f t="shared" si="11"/>
        <v>3.7291666666666665</v>
      </c>
      <c r="P12" s="757">
        <f t="shared" si="3"/>
        <v>0.41833929062414077</v>
      </c>
      <c r="Q12" s="676">
        <f>ROUND('GHG and Energy Use Dec'!Q12,-3)</f>
        <v>816000</v>
      </c>
      <c r="R12" s="676">
        <f>ROUND('GHG and Energy Use Dec'!R12,-3)</f>
        <v>0</v>
      </c>
      <c r="S12" s="676">
        <f>ROUND('GHG and Energy Use Dec'!S12,-3)</f>
        <v>7274000</v>
      </c>
    </row>
    <row r="13" spans="1:71" s="749" customFormat="1" x14ac:dyDescent="0.35">
      <c r="A13" s="740" t="s">
        <v>358</v>
      </c>
      <c r="B13" s="741">
        <f>B14</f>
        <v>23000</v>
      </c>
      <c r="C13" s="742">
        <f t="shared" ref="C13:D13" si="21">C14</f>
        <v>85000</v>
      </c>
      <c r="D13" s="742">
        <f t="shared" si="21"/>
        <v>85000</v>
      </c>
      <c r="E13" s="742">
        <f>E14</f>
        <v>108000</v>
      </c>
      <c r="F13" s="742">
        <f t="shared" ref="F13" si="22">F14</f>
        <v>0</v>
      </c>
      <c r="G13" s="758">
        <f>G14</f>
        <v>0.71409207820630649</v>
      </c>
      <c r="H13" s="744">
        <f t="shared" si="7"/>
        <v>3.8135593220338986E-2</v>
      </c>
      <c r="I13" s="741">
        <f t="shared" si="19"/>
        <v>0</v>
      </c>
      <c r="J13" s="742">
        <f t="shared" si="19"/>
        <v>0</v>
      </c>
      <c r="K13" s="742">
        <f t="shared" si="19"/>
        <v>498000</v>
      </c>
      <c r="L13" s="742">
        <f>L14</f>
        <v>322000</v>
      </c>
      <c r="M13" s="742">
        <f>M14</f>
        <v>820000</v>
      </c>
      <c r="N13" s="745">
        <f t="shared" si="2"/>
        <v>0</v>
      </c>
      <c r="O13" s="759">
        <f>O14</f>
        <v>5.4218102234182526</v>
      </c>
      <c r="P13" s="747">
        <f t="shared" si="3"/>
        <v>0.28954802259887008</v>
      </c>
      <c r="Q13" s="668">
        <f>Q14</f>
        <v>0</v>
      </c>
      <c r="R13" s="669">
        <f t="shared" ref="R13:S13" si="23">R14</f>
        <v>151241000</v>
      </c>
      <c r="S13" s="670">
        <f t="shared" si="23"/>
        <v>2832000</v>
      </c>
      <c r="T13" s="748"/>
      <c r="U13" s="748"/>
      <c r="V13" s="748"/>
      <c r="W13" s="748"/>
      <c r="X13" s="748"/>
      <c r="Y13" s="748"/>
      <c r="Z13" s="748"/>
      <c r="AA13" s="748"/>
      <c r="AB13" s="748"/>
      <c r="AC13" s="748"/>
      <c r="AD13" s="748"/>
      <c r="AE13" s="748"/>
      <c r="AF13" s="748"/>
      <c r="AG13" s="748"/>
      <c r="AH13" s="748"/>
      <c r="AI13" s="748"/>
      <c r="AJ13" s="748"/>
      <c r="AK13" s="748"/>
      <c r="AL13" s="748"/>
      <c r="AM13" s="748"/>
      <c r="AN13" s="748"/>
      <c r="AO13" s="748"/>
      <c r="AP13" s="748"/>
      <c r="AQ13" s="748"/>
      <c r="AR13" s="748"/>
      <c r="AS13" s="748"/>
      <c r="AT13" s="748"/>
      <c r="AU13" s="748"/>
      <c r="AV13" s="748"/>
      <c r="AW13" s="748"/>
      <c r="AX13" s="748"/>
      <c r="AY13" s="748"/>
      <c r="AZ13" s="748"/>
      <c r="BA13" s="748"/>
      <c r="BB13" s="748"/>
      <c r="BC13" s="748"/>
      <c r="BD13" s="748"/>
      <c r="BE13" s="748"/>
      <c r="BF13" s="748"/>
      <c r="BG13" s="748"/>
      <c r="BH13" s="748"/>
      <c r="BI13" s="748"/>
      <c r="BJ13" s="748"/>
      <c r="BK13" s="748"/>
      <c r="BL13" s="748"/>
      <c r="BM13" s="748"/>
      <c r="BN13" s="748"/>
      <c r="BO13" s="748"/>
      <c r="BP13" s="748"/>
      <c r="BQ13" s="748"/>
      <c r="BR13" s="748"/>
      <c r="BS13" s="748"/>
    </row>
    <row r="14" spans="1:71" x14ac:dyDescent="0.35">
      <c r="A14" s="750" t="s">
        <v>359</v>
      </c>
      <c r="B14" s="751">
        <f>ROUND('GHG and Energy Use Dec'!B14,-3)</f>
        <v>23000</v>
      </c>
      <c r="C14" s="751">
        <f>ROUND('GHG and Energy Use Dec'!C14,-3)</f>
        <v>85000</v>
      </c>
      <c r="D14" s="751">
        <f>ROUND('GHG and Energy Use Dec'!D14,-3)</f>
        <v>85000</v>
      </c>
      <c r="E14" s="752">
        <f>SUM(B14+D14)</f>
        <v>108000</v>
      </c>
      <c r="F14" s="752">
        <f t="shared" si="10"/>
        <v>0</v>
      </c>
      <c r="G14" s="760">
        <f>(E14/R14)*1000</f>
        <v>0.71409207820630649</v>
      </c>
      <c r="H14" s="754">
        <f>E14/S14</f>
        <v>3.8135593220338986E-2</v>
      </c>
      <c r="I14" s="751">
        <f>ROUND('GHG and Energy Use Dec'!I14,-3)</f>
        <v>0</v>
      </c>
      <c r="J14" s="751">
        <f>ROUND('GHG and Energy Use Dec'!J14,-3)</f>
        <v>0</v>
      </c>
      <c r="K14" s="751">
        <f>ROUND('GHG and Energy Use Dec'!K14,-3)</f>
        <v>498000</v>
      </c>
      <c r="L14" s="751">
        <f>ROUND('GHG and Energy Use Dec'!L14,-3)</f>
        <v>322000</v>
      </c>
      <c r="M14" s="751">
        <f>ROUND('GHG and Energy Use Dec'!M14,-3)</f>
        <v>820000</v>
      </c>
      <c r="N14" s="755">
        <f>(I14+J14)/M14</f>
        <v>0</v>
      </c>
      <c r="O14" s="761">
        <f>(M14/R14)*1000</f>
        <v>5.4218102234182526</v>
      </c>
      <c r="P14" s="757">
        <f t="shared" si="3"/>
        <v>0.28954802259887008</v>
      </c>
      <c r="Q14" s="676">
        <f>ROUND('GHG and Energy Use Dec'!Q14,-3)</f>
        <v>0</v>
      </c>
      <c r="R14" s="676">
        <f>ROUND('GHG and Energy Use Dec'!R14,-3)</f>
        <v>151241000</v>
      </c>
      <c r="S14" s="676">
        <f>ROUND('GHG and Energy Use Dec'!S14,-3)</f>
        <v>2832000</v>
      </c>
    </row>
    <row r="15" spans="1:71" s="749" customFormat="1" x14ac:dyDescent="0.35">
      <c r="A15" s="740" t="s">
        <v>360</v>
      </c>
      <c r="B15" s="741">
        <f>SUM(B16:B18)</f>
        <v>121000</v>
      </c>
      <c r="C15" s="742">
        <f t="shared" ref="C15:D15" si="24">SUM(C16:C18)</f>
        <v>145000</v>
      </c>
      <c r="D15" s="742">
        <f t="shared" si="24"/>
        <v>145000</v>
      </c>
      <c r="E15" s="742">
        <f>SUM(E16:E18)</f>
        <v>266000</v>
      </c>
      <c r="F15" s="742">
        <f t="shared" ref="F15" si="25">SUM(F16:F18)</f>
        <v>0</v>
      </c>
      <c r="G15" s="743">
        <f>E15/Q15</f>
        <v>0.46830985915492956</v>
      </c>
      <c r="H15" s="744">
        <f t="shared" si="7"/>
        <v>4.3223919402014949E-2</v>
      </c>
      <c r="I15" s="741">
        <f t="shared" ref="I15:L15" si="26">SUM(I16:I18)</f>
        <v>0</v>
      </c>
      <c r="J15" s="742">
        <f t="shared" si="26"/>
        <v>0</v>
      </c>
      <c r="K15" s="742">
        <f t="shared" si="26"/>
        <v>1313000</v>
      </c>
      <c r="L15" s="742">
        <f t="shared" si="26"/>
        <v>1659000</v>
      </c>
      <c r="M15" s="742">
        <f>SUM(M16:M18)</f>
        <v>2972000</v>
      </c>
      <c r="N15" s="745">
        <f t="shared" si="2"/>
        <v>0</v>
      </c>
      <c r="O15" s="746">
        <f>M15/Q15</f>
        <v>5.232394366197183</v>
      </c>
      <c r="P15" s="747">
        <f t="shared" si="3"/>
        <v>0.48293792655183621</v>
      </c>
      <c r="Q15" s="668">
        <f>SUM(Q16:Q18)</f>
        <v>568000</v>
      </c>
      <c r="R15" s="669">
        <f t="shared" ref="R15:S15" si="27">SUM(R16:R18)</f>
        <v>0</v>
      </c>
      <c r="S15" s="670">
        <f t="shared" si="27"/>
        <v>6154000</v>
      </c>
      <c r="T15" s="748"/>
      <c r="U15" s="748"/>
      <c r="V15" s="748"/>
      <c r="W15" s="748"/>
      <c r="X15" s="748"/>
      <c r="Y15" s="748"/>
      <c r="Z15" s="748"/>
      <c r="AA15" s="748"/>
      <c r="AB15" s="748"/>
      <c r="AC15" s="748"/>
      <c r="AD15" s="748"/>
      <c r="AE15" s="748"/>
      <c r="AF15" s="748"/>
      <c r="AG15" s="748"/>
      <c r="AH15" s="748"/>
      <c r="AI15" s="748"/>
      <c r="AJ15" s="748"/>
      <c r="AK15" s="748"/>
      <c r="AL15" s="748"/>
      <c r="AM15" s="748"/>
      <c r="AN15" s="748"/>
      <c r="AO15" s="748"/>
      <c r="AP15" s="748"/>
      <c r="AQ15" s="748"/>
      <c r="AR15" s="748"/>
      <c r="AS15" s="748"/>
      <c r="AT15" s="748"/>
      <c r="AU15" s="748"/>
      <c r="AV15" s="748"/>
      <c r="AW15" s="748"/>
      <c r="AX15" s="748"/>
      <c r="AY15" s="748"/>
      <c r="AZ15" s="748"/>
      <c r="BA15" s="748"/>
      <c r="BB15" s="748"/>
      <c r="BC15" s="748"/>
      <c r="BD15" s="748"/>
      <c r="BE15" s="748"/>
      <c r="BF15" s="748"/>
      <c r="BG15" s="748"/>
      <c r="BH15" s="748"/>
      <c r="BI15" s="748"/>
      <c r="BJ15" s="748"/>
      <c r="BK15" s="748"/>
      <c r="BL15" s="748"/>
      <c r="BM15" s="748"/>
      <c r="BN15" s="748"/>
      <c r="BO15" s="748"/>
      <c r="BP15" s="748"/>
      <c r="BQ15" s="748"/>
      <c r="BR15" s="748"/>
      <c r="BS15" s="748"/>
    </row>
    <row r="16" spans="1:71" x14ac:dyDescent="0.35">
      <c r="A16" s="750" t="s">
        <v>361</v>
      </c>
      <c r="B16" s="751">
        <f>ROUND('GHG and Energy Use Dec'!B16,-3)</f>
        <v>16000</v>
      </c>
      <c r="C16" s="751">
        <f>ROUND('GHG and Energy Use Dec'!C16,-3)</f>
        <v>73000</v>
      </c>
      <c r="D16" s="751">
        <f>ROUND('GHG and Energy Use Dec'!D16,-3)</f>
        <v>73000</v>
      </c>
      <c r="E16" s="752">
        <f>SUM(B16+D16)</f>
        <v>89000</v>
      </c>
      <c r="F16" s="752">
        <f t="shared" si="10"/>
        <v>0</v>
      </c>
      <c r="G16" s="753">
        <f>E16/Q16</f>
        <v>0.419811320754717</v>
      </c>
      <c r="H16" s="754">
        <f>E16/S16</f>
        <v>0.11573472041612484</v>
      </c>
      <c r="I16" s="751">
        <f>ROUND('GHG and Energy Use Dec'!I16,-3)</f>
        <v>0</v>
      </c>
      <c r="J16" s="751">
        <f>ROUND('GHG and Energy Use Dec'!J16,-3)</f>
        <v>0</v>
      </c>
      <c r="K16" s="751">
        <f>ROUND('GHG and Energy Use Dec'!K16,-3)</f>
        <v>658000</v>
      </c>
      <c r="L16" s="751">
        <f>ROUND('GHG and Energy Use Dec'!L16,-3)</f>
        <v>208000</v>
      </c>
      <c r="M16" s="751">
        <f>ROUND('GHG and Energy Use Dec'!M16,-3)</f>
        <v>866000</v>
      </c>
      <c r="N16" s="755">
        <f>(I16+J16)/M16</f>
        <v>0</v>
      </c>
      <c r="O16" s="756">
        <f t="shared" ref="O16:O18" si="28">M16/Q16</f>
        <v>4.0849056603773581</v>
      </c>
      <c r="P16" s="757">
        <f t="shared" si="3"/>
        <v>1.1261378413524057</v>
      </c>
      <c r="Q16" s="676">
        <f>ROUND('GHG and Energy Use Dec'!Q16,-3)</f>
        <v>212000</v>
      </c>
      <c r="R16" s="676">
        <f>ROUND('GHG and Energy Use Dec'!R16,-3)</f>
        <v>0</v>
      </c>
      <c r="S16" s="676">
        <f>ROUND('GHG and Energy Use Dec'!S16,-3)</f>
        <v>769000</v>
      </c>
    </row>
    <row r="17" spans="1:71" x14ac:dyDescent="0.35">
      <c r="A17" s="750" t="s">
        <v>362</v>
      </c>
      <c r="B17" s="751">
        <f>ROUND('GHG and Energy Use Dec'!B17,-3)</f>
        <v>10000</v>
      </c>
      <c r="C17" s="751">
        <f>ROUND('GHG and Energy Use Dec'!C17,-3)</f>
        <v>29000</v>
      </c>
      <c r="D17" s="751">
        <f>ROUND('GHG and Energy Use Dec'!D17,-3)</f>
        <v>29000</v>
      </c>
      <c r="E17" s="752">
        <f>SUM(B17+D17)</f>
        <v>39000</v>
      </c>
      <c r="F17" s="752">
        <f t="shared" si="10"/>
        <v>0</v>
      </c>
      <c r="G17" s="753">
        <f>E17/Q17</f>
        <v>0.84782608695652173</v>
      </c>
      <c r="H17" s="754">
        <f>E17/S17</f>
        <v>1.8022181146025877E-2</v>
      </c>
      <c r="I17" s="751">
        <f>ROUND('GHG and Energy Use Dec'!I17,-3)</f>
        <v>0</v>
      </c>
      <c r="J17" s="751">
        <f>ROUND('GHG and Energy Use Dec'!J17,-3)</f>
        <v>0</v>
      </c>
      <c r="K17" s="751">
        <f>ROUND('GHG and Energy Use Dec'!K17,-3)</f>
        <v>265000</v>
      </c>
      <c r="L17" s="751">
        <f>ROUND('GHG and Energy Use Dec'!L17,-3)</f>
        <v>117000</v>
      </c>
      <c r="M17" s="751">
        <f>ROUND('GHG and Energy Use Dec'!M17,-3)</f>
        <v>382000</v>
      </c>
      <c r="N17" s="755">
        <f>(I17+J17)/M17</f>
        <v>0</v>
      </c>
      <c r="O17" s="756">
        <f t="shared" si="28"/>
        <v>8.304347826086957</v>
      </c>
      <c r="P17" s="757">
        <f t="shared" si="3"/>
        <v>0.17652495378927913</v>
      </c>
      <c r="Q17" s="676">
        <f>ROUND('GHG and Energy Use Dec'!Q17,-3)</f>
        <v>46000</v>
      </c>
      <c r="R17" s="676">
        <f>ROUND('GHG and Energy Use Dec'!R17,-3)</f>
        <v>0</v>
      </c>
      <c r="S17" s="676">
        <f>ROUND('GHG and Energy Use Dec'!S17,-3)</f>
        <v>2164000</v>
      </c>
    </row>
    <row r="18" spans="1:71" x14ac:dyDescent="0.35">
      <c r="A18" s="750" t="s">
        <v>363</v>
      </c>
      <c r="B18" s="751">
        <f>ROUND('GHG and Energy Use Dec'!B18,-3)</f>
        <v>95000</v>
      </c>
      <c r="C18" s="751">
        <f>ROUND('GHG and Energy Use Dec'!C18,-3)</f>
        <v>43000</v>
      </c>
      <c r="D18" s="751">
        <f>ROUND('GHG and Energy Use Dec'!D18,-3)</f>
        <v>43000</v>
      </c>
      <c r="E18" s="752">
        <f>SUM(B18+D18)</f>
        <v>138000</v>
      </c>
      <c r="F18" s="752">
        <f t="shared" si="10"/>
        <v>0</v>
      </c>
      <c r="G18" s="753">
        <f>E18/Q18</f>
        <v>0.44516129032258067</v>
      </c>
      <c r="H18" s="754">
        <f>E18/S18</f>
        <v>4.2843837317603231E-2</v>
      </c>
      <c r="I18" s="751">
        <f>ROUND('GHG and Energy Use Dec'!I18,-3)</f>
        <v>0</v>
      </c>
      <c r="J18" s="751">
        <f>ROUND('GHG and Energy Use Dec'!J18,-3)</f>
        <v>0</v>
      </c>
      <c r="K18" s="751">
        <f>ROUND('GHG and Energy Use Dec'!K18,-3)</f>
        <v>390000</v>
      </c>
      <c r="L18" s="751">
        <f>ROUND('GHG and Energy Use Dec'!L18,-3)</f>
        <v>1334000</v>
      </c>
      <c r="M18" s="751">
        <f>ROUND('GHG and Energy Use Dec'!M18,-3)</f>
        <v>1724000</v>
      </c>
      <c r="N18" s="755">
        <f>(I18+J18)/M18</f>
        <v>0</v>
      </c>
      <c r="O18" s="756">
        <f t="shared" si="28"/>
        <v>5.5612903225806454</v>
      </c>
      <c r="P18" s="757">
        <f t="shared" si="3"/>
        <v>0.53523750388078239</v>
      </c>
      <c r="Q18" s="676">
        <f>ROUND('GHG and Energy Use Dec'!Q18,-3)</f>
        <v>310000</v>
      </c>
      <c r="R18" s="676">
        <f>ROUND('GHG and Energy Use Dec'!R18,-3)</f>
        <v>0</v>
      </c>
      <c r="S18" s="676">
        <f>ROUND('GHG and Energy Use Dec'!S18,-3)</f>
        <v>3221000</v>
      </c>
    </row>
    <row r="19" spans="1:71" s="749" customFormat="1" x14ac:dyDescent="0.35">
      <c r="A19" s="740" t="s">
        <v>364</v>
      </c>
      <c r="B19" s="741">
        <f>B20</f>
        <v>210000</v>
      </c>
      <c r="C19" s="742">
        <f t="shared" ref="C19:D19" si="29">C20</f>
        <v>57000</v>
      </c>
      <c r="D19" s="742">
        <f t="shared" si="29"/>
        <v>57000</v>
      </c>
      <c r="E19" s="742">
        <f>E20</f>
        <v>267000</v>
      </c>
      <c r="F19" s="742">
        <f t="shared" ref="F19" si="30">F20</f>
        <v>0</v>
      </c>
      <c r="G19" s="758">
        <f>G20</f>
        <v>1.1028500619578685</v>
      </c>
      <c r="H19" s="744">
        <f t="shared" si="7"/>
        <v>1.0384660262144607E-2</v>
      </c>
      <c r="I19" s="741">
        <f t="shared" ref="I19:K19" si="31">I20</f>
        <v>0</v>
      </c>
      <c r="J19" s="742">
        <f t="shared" si="31"/>
        <v>0</v>
      </c>
      <c r="K19" s="742">
        <f t="shared" si="31"/>
        <v>1305000</v>
      </c>
      <c r="L19" s="742">
        <f>L20</f>
        <v>2939000</v>
      </c>
      <c r="M19" s="742">
        <f>M20</f>
        <v>4244000</v>
      </c>
      <c r="N19" s="745">
        <f t="shared" si="2"/>
        <v>0</v>
      </c>
      <c r="O19" s="759">
        <f>O20</f>
        <v>17.529946303180502</v>
      </c>
      <c r="P19" s="747">
        <f t="shared" si="3"/>
        <v>0.16506553615184164</v>
      </c>
      <c r="Q19" s="668">
        <f>Q20</f>
        <v>0</v>
      </c>
      <c r="R19" s="669">
        <f t="shared" ref="R19:S19" si="32">R20</f>
        <v>242100000</v>
      </c>
      <c r="S19" s="670">
        <f t="shared" si="32"/>
        <v>25711000</v>
      </c>
      <c r="T19" s="748"/>
      <c r="U19" s="748"/>
      <c r="V19" s="748"/>
      <c r="W19" s="748"/>
      <c r="X19" s="748"/>
      <c r="Y19" s="748"/>
      <c r="Z19" s="748"/>
      <c r="AA19" s="748"/>
      <c r="AB19" s="748"/>
      <c r="AC19" s="748"/>
      <c r="AD19" s="748"/>
      <c r="AE19" s="748"/>
      <c r="AF19" s="748"/>
      <c r="AG19" s="748"/>
      <c r="AH19" s="748"/>
      <c r="AI19" s="748"/>
      <c r="AJ19" s="748"/>
      <c r="AK19" s="748"/>
      <c r="AL19" s="748"/>
      <c r="AM19" s="748"/>
      <c r="AN19" s="748"/>
      <c r="AO19" s="748"/>
      <c r="AP19" s="748"/>
      <c r="AQ19" s="748"/>
      <c r="AR19" s="748"/>
      <c r="AS19" s="748"/>
      <c r="AT19" s="748"/>
      <c r="AU19" s="748"/>
      <c r="AV19" s="748"/>
      <c r="AW19" s="748"/>
      <c r="AX19" s="748"/>
      <c r="AY19" s="748"/>
      <c r="AZ19" s="748"/>
      <c r="BA19" s="748"/>
      <c r="BB19" s="748"/>
      <c r="BC19" s="748"/>
      <c r="BD19" s="748"/>
      <c r="BE19" s="748"/>
      <c r="BF19" s="748"/>
      <c r="BG19" s="748"/>
      <c r="BH19" s="748"/>
      <c r="BI19" s="748"/>
      <c r="BJ19" s="748"/>
      <c r="BK19" s="748"/>
      <c r="BL19" s="748"/>
      <c r="BM19" s="748"/>
      <c r="BN19" s="748"/>
      <c r="BO19" s="748"/>
      <c r="BP19" s="748"/>
      <c r="BQ19" s="748"/>
      <c r="BR19" s="748"/>
      <c r="BS19" s="748"/>
    </row>
    <row r="20" spans="1:71" x14ac:dyDescent="0.35">
      <c r="A20" s="750" t="s">
        <v>365</v>
      </c>
      <c r="B20" s="751">
        <f>ROUND('GHG and Energy Use Dec'!B20,-3)</f>
        <v>210000</v>
      </c>
      <c r="C20" s="751">
        <f>ROUND('GHG and Energy Use Dec'!C20,-3)</f>
        <v>57000</v>
      </c>
      <c r="D20" s="751">
        <f>ROUND('GHG and Energy Use Dec'!D20,-3)</f>
        <v>57000</v>
      </c>
      <c r="E20" s="752">
        <f>SUM(B20+D20)</f>
        <v>267000</v>
      </c>
      <c r="F20" s="752">
        <f t="shared" si="10"/>
        <v>0</v>
      </c>
      <c r="G20" s="760">
        <f>(E20/R20)*1000</f>
        <v>1.1028500619578685</v>
      </c>
      <c r="H20" s="754">
        <f>E20/S20</f>
        <v>1.0384660262144607E-2</v>
      </c>
      <c r="I20" s="751">
        <f>ROUND('GHG and Energy Use Dec'!I20,-3)</f>
        <v>0</v>
      </c>
      <c r="J20" s="751">
        <f>ROUND('GHG and Energy Use Dec'!J20,-3)</f>
        <v>0</v>
      </c>
      <c r="K20" s="751">
        <f>ROUND('GHG and Energy Use Dec'!K20,-3)</f>
        <v>1305000</v>
      </c>
      <c r="L20" s="751">
        <f>ROUND('GHG and Energy Use Dec'!L20,-3)</f>
        <v>2939000</v>
      </c>
      <c r="M20" s="751">
        <f>ROUND('GHG and Energy Use Dec'!M20,-3)</f>
        <v>4244000</v>
      </c>
      <c r="N20" s="755">
        <f>(I20+J20)/M20</f>
        <v>0</v>
      </c>
      <c r="O20" s="761">
        <f>(M20/R20)*1000</f>
        <v>17.529946303180502</v>
      </c>
      <c r="P20" s="757">
        <f t="shared" si="3"/>
        <v>0.16506553615184164</v>
      </c>
      <c r="Q20" s="676">
        <f>ROUND('GHG and Energy Use Dec'!Q20,-3)</f>
        <v>0</v>
      </c>
      <c r="R20" s="676">
        <f>ROUND('GHG and Energy Use Dec'!R20,-3)</f>
        <v>242100000</v>
      </c>
      <c r="S20" s="676">
        <f>ROUND('GHG and Energy Use Dec'!S20,-3)</f>
        <v>25711000</v>
      </c>
    </row>
    <row r="21" spans="1:71" s="582" customFormat="1" x14ac:dyDescent="0.35">
      <c r="A21" s="729" t="s">
        <v>366</v>
      </c>
      <c r="B21" s="762">
        <f>B22+B25+B27+B30</f>
        <v>2466000</v>
      </c>
      <c r="C21" s="762">
        <f t="shared" ref="C21:E21" si="33">C22+C25+C27+C30</f>
        <v>100000</v>
      </c>
      <c r="D21" s="762">
        <f t="shared" si="33"/>
        <v>100000</v>
      </c>
      <c r="E21" s="762">
        <f t="shared" si="33"/>
        <v>2566000</v>
      </c>
      <c r="F21" s="763">
        <f>F22+F25+F27+F30</f>
        <v>0</v>
      </c>
      <c r="G21" s="732">
        <f t="shared" ref="G21:G33" si="34">E21/Q21</f>
        <v>2.1365528726061616</v>
      </c>
      <c r="H21" s="733">
        <f t="shared" si="7"/>
        <v>8.1876196553924696E-2</v>
      </c>
      <c r="I21" s="762">
        <f>I22+I25+I27+I30</f>
        <v>5000</v>
      </c>
      <c r="J21" s="762">
        <f t="shared" ref="J21:M21" si="35">J22+J25+J27+J30</f>
        <v>51000</v>
      </c>
      <c r="K21" s="762">
        <f t="shared" si="35"/>
        <v>822000</v>
      </c>
      <c r="L21" s="762">
        <f t="shared" si="35"/>
        <v>20252000</v>
      </c>
      <c r="M21" s="762">
        <f t="shared" si="35"/>
        <v>21130000</v>
      </c>
      <c r="N21" s="734">
        <f>(I21+J21)/M21</f>
        <v>2.6502602934216752E-3</v>
      </c>
      <c r="O21" s="735">
        <f>M21/Q21</f>
        <v>17.593671940049958</v>
      </c>
      <c r="P21" s="736">
        <f>M21/S21</f>
        <v>0.67421825143586467</v>
      </c>
      <c r="Q21" s="641">
        <f>Q22+Q25+Q27+Q30</f>
        <v>1201000</v>
      </c>
      <c r="R21" s="641">
        <f t="shared" ref="R21:S21" si="36">R22+R25+R27+R30</f>
        <v>0</v>
      </c>
      <c r="S21" s="641">
        <f t="shared" si="36"/>
        <v>31340000</v>
      </c>
    </row>
    <row r="22" spans="1:71" s="749" customFormat="1" x14ac:dyDescent="0.35">
      <c r="A22" s="740" t="s">
        <v>367</v>
      </c>
      <c r="B22" s="764">
        <f>SUM(B23:B23)</f>
        <v>286000</v>
      </c>
      <c r="C22" s="765">
        <f>SUM(C23:C23)</f>
        <v>0</v>
      </c>
      <c r="D22" s="765">
        <f>SUM(D23:D23)</f>
        <v>0</v>
      </c>
      <c r="E22" s="765">
        <f>SUM(E23:E23)</f>
        <v>286000</v>
      </c>
      <c r="F22" s="765">
        <f>SUM(F23:F23)</f>
        <v>0</v>
      </c>
      <c r="G22" s="766">
        <f t="shared" si="34"/>
        <v>0.83139534883720934</v>
      </c>
      <c r="H22" s="767">
        <f t="shared" si="7"/>
        <v>1.2866075846866706E-2</v>
      </c>
      <c r="I22" s="764">
        <f>SUM(I23:I23)</f>
        <v>5000</v>
      </c>
      <c r="J22" s="765">
        <f>SUM(J23:J23)</f>
        <v>0</v>
      </c>
      <c r="K22" s="765">
        <f>SUM(K23:K23)</f>
        <v>0</v>
      </c>
      <c r="L22" s="765">
        <f>SUM(L23:L23)</f>
        <v>4121000</v>
      </c>
      <c r="M22" s="765">
        <f>SUM(M23:M23)</f>
        <v>4126000</v>
      </c>
      <c r="N22" s="768">
        <f t="shared" si="2"/>
        <v>1.2118274357731458E-3</v>
      </c>
      <c r="O22" s="769">
        <f t="shared" ref="O22:O48" si="37">M22/Q22</f>
        <v>11.994186046511627</v>
      </c>
      <c r="P22" s="770">
        <f t="shared" si="3"/>
        <v>0.18561338791668541</v>
      </c>
      <c r="Q22" s="668">
        <f>SUM(Q23:Q23)</f>
        <v>344000</v>
      </c>
      <c r="R22" s="669">
        <f>SUM(R23:R23)</f>
        <v>0</v>
      </c>
      <c r="S22" s="670">
        <f>SUM(S23:S23)</f>
        <v>22229000</v>
      </c>
      <c r="T22" s="748"/>
      <c r="U22" s="748"/>
      <c r="V22" s="748"/>
      <c r="W22" s="748"/>
      <c r="X22" s="748"/>
      <c r="Y22" s="748"/>
      <c r="Z22" s="748"/>
      <c r="AA22" s="748"/>
      <c r="AB22" s="748"/>
      <c r="AC22" s="748"/>
      <c r="AD22" s="748"/>
      <c r="AE22" s="748"/>
      <c r="AF22" s="748"/>
      <c r="AG22" s="748"/>
      <c r="AH22" s="748"/>
      <c r="AI22" s="748"/>
      <c r="AJ22" s="748"/>
      <c r="AK22" s="748"/>
      <c r="AL22" s="748"/>
      <c r="AM22" s="748"/>
      <c r="AN22" s="748"/>
      <c r="AO22" s="748"/>
      <c r="AP22" s="748"/>
      <c r="AQ22" s="748"/>
      <c r="AR22" s="748"/>
      <c r="AS22" s="748"/>
      <c r="AT22" s="748"/>
      <c r="AU22" s="748"/>
      <c r="AV22" s="748"/>
      <c r="AW22" s="748"/>
      <c r="AX22" s="748"/>
      <c r="AY22" s="748"/>
      <c r="AZ22" s="748"/>
      <c r="BA22" s="748"/>
      <c r="BB22" s="748"/>
      <c r="BC22" s="748"/>
      <c r="BD22" s="748"/>
      <c r="BE22" s="748"/>
      <c r="BF22" s="748"/>
      <c r="BG22" s="748"/>
      <c r="BH22" s="748"/>
      <c r="BI22" s="748"/>
      <c r="BJ22" s="748"/>
      <c r="BK22" s="748"/>
      <c r="BL22" s="748"/>
      <c r="BM22" s="748"/>
      <c r="BN22" s="748"/>
      <c r="BO22" s="748"/>
      <c r="BP22" s="748"/>
      <c r="BQ22" s="748"/>
      <c r="BR22" s="748"/>
      <c r="BS22" s="748"/>
    </row>
    <row r="23" spans="1:71" x14ac:dyDescent="0.35">
      <c r="A23" s="750" t="s">
        <v>368</v>
      </c>
      <c r="B23" s="751">
        <f>ROUND('GHG and Energy Use Dec'!B23,-3)</f>
        <v>286000</v>
      </c>
      <c r="C23" s="751">
        <f>ROUND('GHG and Energy Use Dec'!C23,-3)</f>
        <v>0</v>
      </c>
      <c r="D23" s="751">
        <f>ROUND('GHG and Energy Use Dec'!D23,-3)</f>
        <v>0</v>
      </c>
      <c r="E23" s="752">
        <f>SUM(B23+D23)</f>
        <v>286000</v>
      </c>
      <c r="F23" s="752">
        <f>ROUND(F79, -3)</f>
        <v>0</v>
      </c>
      <c r="G23" s="753">
        <f>E23/Q23</f>
        <v>0.83139534883720934</v>
      </c>
      <c r="H23" s="754">
        <f>E23/S23</f>
        <v>1.2866075846866706E-2</v>
      </c>
      <c r="I23" s="751">
        <f>ROUND('GHG and Energy Use Dec'!I23,-3)</f>
        <v>5000</v>
      </c>
      <c r="J23" s="751">
        <f>ROUND('GHG and Energy Use Dec'!J23,-3)</f>
        <v>0</v>
      </c>
      <c r="K23" s="751">
        <f>ROUND('GHG and Energy Use Dec'!K23,-3)</f>
        <v>0</v>
      </c>
      <c r="L23" s="751">
        <f>ROUND('GHG and Energy Use Dec'!L23,-3)</f>
        <v>4121000</v>
      </c>
      <c r="M23" s="751">
        <f>ROUND('GHG and Energy Use Dec'!M23,-3)</f>
        <v>4126000</v>
      </c>
      <c r="N23" s="755">
        <f>(I23+J23)/M23</f>
        <v>1.2118274357731458E-3</v>
      </c>
      <c r="O23" s="756">
        <f t="shared" si="37"/>
        <v>11.994186046511627</v>
      </c>
      <c r="P23" s="757">
        <f t="shared" si="3"/>
        <v>0.18561338791668541</v>
      </c>
      <c r="Q23" s="676">
        <f>ROUND('GHG and Energy Use Dec'!Q23,-3)</f>
        <v>344000</v>
      </c>
      <c r="R23" s="676">
        <f>ROUND('GHG and Energy Use Dec'!R23,-3)</f>
        <v>0</v>
      </c>
      <c r="S23" s="676">
        <f>ROUND('GHG and Energy Use Dec'!S23,-3)</f>
        <v>22229000</v>
      </c>
    </row>
    <row r="24" spans="1:71" hidden="1" x14ac:dyDescent="0.35">
      <c r="A24" s="771" t="s">
        <v>373</v>
      </c>
      <c r="B24" s="772">
        <v>0</v>
      </c>
      <c r="C24" s="773">
        <v>0</v>
      </c>
      <c r="D24" s="773">
        <v>0</v>
      </c>
      <c r="E24" s="752">
        <f t="shared" ref="E24" si="38">SUM(B24+D24)</f>
        <v>0</v>
      </c>
      <c r="F24" s="773"/>
      <c r="G24" s="774" t="e">
        <f t="shared" si="34"/>
        <v>#DIV/0!</v>
      </c>
      <c r="H24" s="775" t="e">
        <f t="shared" si="7"/>
        <v>#DIV/0!</v>
      </c>
      <c r="I24" s="772">
        <v>0</v>
      </c>
      <c r="J24" s="773">
        <v>0</v>
      </c>
      <c r="K24" s="773">
        <v>0</v>
      </c>
      <c r="L24" s="773">
        <v>0</v>
      </c>
      <c r="M24" s="773">
        <v>0</v>
      </c>
      <c r="N24" s="776" t="e">
        <f t="shared" si="2"/>
        <v>#DIV/0!</v>
      </c>
      <c r="O24" s="777" t="e">
        <f t="shared" si="37"/>
        <v>#DIV/0!</v>
      </c>
      <c r="P24" s="778" t="e">
        <f t="shared" si="3"/>
        <v>#DIV/0!</v>
      </c>
      <c r="Q24" s="779"/>
      <c r="R24" s="697"/>
      <c r="S24" s="780"/>
    </row>
    <row r="25" spans="1:71" s="749" customFormat="1" x14ac:dyDescent="0.35">
      <c r="A25" s="740" t="s">
        <v>374</v>
      </c>
      <c r="B25" s="764">
        <f>B26</f>
        <v>2129000</v>
      </c>
      <c r="C25" s="765">
        <f t="shared" ref="C25:D25" si="39">C26</f>
        <v>85000</v>
      </c>
      <c r="D25" s="765">
        <f t="shared" si="39"/>
        <v>85000</v>
      </c>
      <c r="E25" s="765">
        <f>E26</f>
        <v>2214000</v>
      </c>
      <c r="F25" s="765">
        <f t="shared" ref="F25" si="40">F26</f>
        <v>0</v>
      </c>
      <c r="G25" s="766">
        <f t="shared" si="34"/>
        <v>2.7199017199017197</v>
      </c>
      <c r="H25" s="767">
        <f t="shared" si="7"/>
        <v>0.2430029634507738</v>
      </c>
      <c r="I25" s="741">
        <f t="shared" ref="I25:K25" si="41">I26</f>
        <v>0</v>
      </c>
      <c r="J25" s="742">
        <f t="shared" si="41"/>
        <v>0</v>
      </c>
      <c r="K25" s="742">
        <f t="shared" si="41"/>
        <v>517000</v>
      </c>
      <c r="L25" s="742">
        <f>L26</f>
        <v>15551000</v>
      </c>
      <c r="M25" s="742">
        <f>M26</f>
        <v>16069000</v>
      </c>
      <c r="N25" s="768">
        <f t="shared" si="2"/>
        <v>0</v>
      </c>
      <c r="O25" s="769">
        <f t="shared" si="37"/>
        <v>19.740786240786242</v>
      </c>
      <c r="P25" s="770">
        <f t="shared" si="3"/>
        <v>1.7636922401492701</v>
      </c>
      <c r="Q25" s="668">
        <f>Q26</f>
        <v>814000</v>
      </c>
      <c r="R25" s="669">
        <f t="shared" ref="R25:S25" si="42">R26</f>
        <v>0</v>
      </c>
      <c r="S25" s="670">
        <f t="shared" si="42"/>
        <v>9111000</v>
      </c>
      <c r="T25" s="748"/>
      <c r="U25" s="748"/>
      <c r="V25" s="748"/>
      <c r="W25" s="748"/>
      <c r="X25" s="748"/>
      <c r="Y25" s="748"/>
      <c r="Z25" s="748"/>
      <c r="AA25" s="748"/>
      <c r="AB25" s="748"/>
      <c r="AC25" s="748"/>
      <c r="AD25" s="748"/>
      <c r="AE25" s="748"/>
      <c r="AF25" s="748"/>
      <c r="AG25" s="748"/>
      <c r="AH25" s="748"/>
      <c r="AI25" s="748"/>
      <c r="AJ25" s="748"/>
      <c r="AK25" s="748"/>
      <c r="AL25" s="748"/>
      <c r="AM25" s="748"/>
      <c r="AN25" s="748"/>
      <c r="AO25" s="748"/>
      <c r="AP25" s="748"/>
      <c r="AQ25" s="748"/>
      <c r="AR25" s="748"/>
      <c r="AS25" s="748"/>
      <c r="AT25" s="748"/>
      <c r="AU25" s="748"/>
      <c r="AV25" s="748"/>
      <c r="AW25" s="748"/>
      <c r="AX25" s="748"/>
      <c r="AY25" s="748"/>
      <c r="AZ25" s="748"/>
      <c r="BA25" s="748"/>
      <c r="BB25" s="748"/>
      <c r="BC25" s="748"/>
      <c r="BD25" s="748"/>
      <c r="BE25" s="748"/>
      <c r="BF25" s="748"/>
      <c r="BG25" s="748"/>
      <c r="BH25" s="748"/>
      <c r="BI25" s="748"/>
      <c r="BJ25" s="748"/>
      <c r="BK25" s="748"/>
      <c r="BL25" s="748"/>
      <c r="BM25" s="748"/>
      <c r="BN25" s="748"/>
      <c r="BO25" s="748"/>
      <c r="BP25" s="748"/>
      <c r="BQ25" s="748"/>
      <c r="BR25" s="748"/>
      <c r="BS25" s="748"/>
    </row>
    <row r="26" spans="1:71" x14ac:dyDescent="0.35">
      <c r="A26" s="750" t="s">
        <v>375</v>
      </c>
      <c r="B26" s="751">
        <f>ROUND('GHG and Energy Use Dec'!B26,-3)</f>
        <v>2129000</v>
      </c>
      <c r="C26" s="751">
        <f>ROUND('GHG and Energy Use Dec'!C26,-3)</f>
        <v>85000</v>
      </c>
      <c r="D26" s="751">
        <f>ROUND('GHG and Energy Use Dec'!D26,-3)</f>
        <v>85000</v>
      </c>
      <c r="E26" s="752">
        <f>SUM(B26+D26)</f>
        <v>2214000</v>
      </c>
      <c r="F26" s="752">
        <f t="shared" ref="F26:F31" si="43">ROUND(F85, -3)</f>
        <v>0</v>
      </c>
      <c r="G26" s="753">
        <f>E26/Q26</f>
        <v>2.7199017199017197</v>
      </c>
      <c r="H26" s="754">
        <f>E26/S26</f>
        <v>0.2430029634507738</v>
      </c>
      <c r="I26" s="751">
        <f>ROUND('GHG and Energy Use Dec'!I26,-3)</f>
        <v>0</v>
      </c>
      <c r="J26" s="751">
        <f>ROUND('GHG and Energy Use Dec'!J26,-3)</f>
        <v>0</v>
      </c>
      <c r="K26" s="751">
        <f>ROUND('GHG and Energy Use Dec'!K26,-3)</f>
        <v>517000</v>
      </c>
      <c r="L26" s="751">
        <f>ROUND('GHG and Energy Use Dec'!L26,-3)</f>
        <v>15551000</v>
      </c>
      <c r="M26" s="751">
        <f>ROUND('GHG and Energy Use Dec'!M26,-3)</f>
        <v>16069000</v>
      </c>
      <c r="N26" s="755">
        <f>(I26+J26)/M26</f>
        <v>0</v>
      </c>
      <c r="O26" s="756">
        <f t="shared" si="37"/>
        <v>19.740786240786242</v>
      </c>
      <c r="P26" s="757">
        <f t="shared" si="3"/>
        <v>1.7636922401492701</v>
      </c>
      <c r="Q26" s="676">
        <f>ROUND('GHG and Energy Use Dec'!Q26,-3)</f>
        <v>814000</v>
      </c>
      <c r="R26" s="676">
        <f>ROUND('GHG and Energy Use Dec'!R26,-3)</f>
        <v>0</v>
      </c>
      <c r="S26" s="676">
        <f>ROUND('GHG and Energy Use Dec'!S26,-3)</f>
        <v>9111000</v>
      </c>
    </row>
    <row r="27" spans="1:71" s="749" customFormat="1" x14ac:dyDescent="0.35">
      <c r="A27" s="740" t="s">
        <v>376</v>
      </c>
      <c r="B27" s="764">
        <f>SUM(B28:B29)</f>
        <v>12000</v>
      </c>
      <c r="C27" s="765">
        <f t="shared" ref="C27:D27" si="44">SUM(C28:C29)</f>
        <v>15000</v>
      </c>
      <c r="D27" s="765">
        <f t="shared" si="44"/>
        <v>15000</v>
      </c>
      <c r="E27" s="765">
        <f>SUM(E28:E29)</f>
        <v>27000</v>
      </c>
      <c r="F27" s="765">
        <f t="shared" ref="F27" si="45">SUM(F28:F29)</f>
        <v>0</v>
      </c>
      <c r="G27" s="766">
        <f t="shared" si="34"/>
        <v>0.62790697674418605</v>
      </c>
      <c r="H27" s="767" t="s">
        <v>505</v>
      </c>
      <c r="I27" s="764">
        <f t="shared" ref="I27:L27" si="46">SUM(I28:I29)</f>
        <v>0</v>
      </c>
      <c r="J27" s="765">
        <f t="shared" si="46"/>
        <v>51000</v>
      </c>
      <c r="K27" s="765">
        <f t="shared" si="46"/>
        <v>305000</v>
      </c>
      <c r="L27" s="765">
        <f t="shared" si="46"/>
        <v>16000</v>
      </c>
      <c r="M27" s="765">
        <f>SUM(M28:M29)</f>
        <v>371000</v>
      </c>
      <c r="N27" s="768">
        <f t="shared" si="2"/>
        <v>0.13746630727762804</v>
      </c>
      <c r="O27" s="769">
        <f t="shared" si="37"/>
        <v>8.6279069767441854</v>
      </c>
      <c r="P27" s="770" t="s">
        <v>505</v>
      </c>
      <c r="Q27" s="668">
        <f>SUM(Q28:Q29)</f>
        <v>43000</v>
      </c>
      <c r="R27" s="669">
        <f t="shared" ref="R27:S27" si="47">SUM(R28:R29)</f>
        <v>0</v>
      </c>
      <c r="S27" s="670">
        <f t="shared" si="47"/>
        <v>0</v>
      </c>
      <c r="T27" s="748"/>
      <c r="U27" s="748"/>
      <c r="V27" s="748"/>
      <c r="W27" s="748"/>
      <c r="X27" s="748"/>
      <c r="Y27" s="748"/>
      <c r="Z27" s="748"/>
      <c r="AA27" s="748"/>
      <c r="AB27" s="748"/>
      <c r="AC27" s="748"/>
      <c r="AD27" s="748"/>
      <c r="AE27" s="748"/>
      <c r="AF27" s="748"/>
      <c r="AG27" s="748"/>
      <c r="AH27" s="748"/>
      <c r="AI27" s="748"/>
      <c r="AJ27" s="748"/>
      <c r="AK27" s="748"/>
      <c r="AL27" s="748"/>
      <c r="AM27" s="748"/>
      <c r="AN27" s="748"/>
      <c r="AO27" s="748"/>
      <c r="AP27" s="748"/>
      <c r="AQ27" s="748"/>
      <c r="AR27" s="748"/>
      <c r="AS27" s="748"/>
      <c r="AT27" s="748"/>
      <c r="AU27" s="748"/>
      <c r="AV27" s="748"/>
      <c r="AW27" s="748"/>
      <c r="AX27" s="748"/>
      <c r="AY27" s="748"/>
      <c r="AZ27" s="748"/>
      <c r="BA27" s="748"/>
      <c r="BB27" s="748"/>
      <c r="BC27" s="748"/>
      <c r="BD27" s="748"/>
      <c r="BE27" s="748"/>
      <c r="BF27" s="748"/>
      <c r="BG27" s="748"/>
      <c r="BH27" s="748"/>
      <c r="BI27" s="748"/>
      <c r="BJ27" s="748"/>
      <c r="BK27" s="748"/>
      <c r="BL27" s="748"/>
      <c r="BM27" s="748"/>
      <c r="BN27" s="748"/>
      <c r="BO27" s="748"/>
      <c r="BP27" s="748"/>
      <c r="BQ27" s="748"/>
      <c r="BR27" s="748"/>
      <c r="BS27" s="748"/>
    </row>
    <row r="28" spans="1:71" x14ac:dyDescent="0.35">
      <c r="A28" s="750" t="s">
        <v>377</v>
      </c>
      <c r="B28" s="751">
        <f>ROUND('GHG and Energy Use Dec'!B28,-3)</f>
        <v>6000</v>
      </c>
      <c r="C28" s="751">
        <f>ROUND('GHG and Energy Use Dec'!C28,-3)</f>
        <v>6000</v>
      </c>
      <c r="D28" s="751">
        <f>ROUND('GHG and Energy Use Dec'!D28,-3)</f>
        <v>6000</v>
      </c>
      <c r="E28" s="752">
        <f>SUM(B28+D28)</f>
        <v>12000</v>
      </c>
      <c r="F28" s="752">
        <f t="shared" si="43"/>
        <v>0</v>
      </c>
      <c r="G28" s="753">
        <f>E28/Q28</f>
        <v>0.75</v>
      </c>
      <c r="H28" s="754" t="s">
        <v>505</v>
      </c>
      <c r="I28" s="751">
        <f>ROUND('GHG and Energy Use Dec'!I28,-3)</f>
        <v>0</v>
      </c>
      <c r="J28" s="751">
        <f>ROUND('GHG and Energy Use Dec'!J28,-3)</f>
        <v>0</v>
      </c>
      <c r="K28" s="751">
        <f>ROUND('GHG and Energy Use Dec'!K28,-3)</f>
        <v>118000</v>
      </c>
      <c r="L28" s="751">
        <f>ROUND('GHG and Energy Use Dec'!L28,-3)</f>
        <v>13000</v>
      </c>
      <c r="M28" s="751">
        <f>ROUND('GHG and Energy Use Dec'!M28,-3)</f>
        <v>130000</v>
      </c>
      <c r="N28" s="755">
        <f>(I28+J28)/M28</f>
        <v>0</v>
      </c>
      <c r="O28" s="756">
        <f t="shared" si="37"/>
        <v>8.125</v>
      </c>
      <c r="P28" s="757" t="s">
        <v>505</v>
      </c>
      <c r="Q28" s="676">
        <f>ROUND('GHG and Energy Use Dec'!Q28,-3)</f>
        <v>16000</v>
      </c>
      <c r="R28" s="676">
        <f>ROUND('GHG and Energy Use Dec'!R28,-3)</f>
        <v>0</v>
      </c>
      <c r="S28" s="676">
        <f>ROUND('GHG and Energy Use Dec'!S28,-3)</f>
        <v>0</v>
      </c>
    </row>
    <row r="29" spans="1:71" x14ac:dyDescent="0.35">
      <c r="A29" s="750" t="s">
        <v>378</v>
      </c>
      <c r="B29" s="751">
        <f>ROUND('GHG and Energy Use Dec'!B29,-3)</f>
        <v>6000</v>
      </c>
      <c r="C29" s="751">
        <f>ROUND('GHG and Energy Use Dec'!C29,-3)</f>
        <v>9000</v>
      </c>
      <c r="D29" s="751">
        <f>ROUND('GHG and Energy Use Dec'!D29,-3)</f>
        <v>9000</v>
      </c>
      <c r="E29" s="752">
        <f>SUM(B29+D29)</f>
        <v>15000</v>
      </c>
      <c r="F29" s="752">
        <f t="shared" si="43"/>
        <v>0</v>
      </c>
      <c r="G29" s="753">
        <f>E29/Q29</f>
        <v>0.55555555555555558</v>
      </c>
      <c r="H29" s="754" t="s">
        <v>505</v>
      </c>
      <c r="I29" s="751">
        <f>ROUND('GHG and Energy Use Dec'!I29,-3)</f>
        <v>0</v>
      </c>
      <c r="J29" s="751">
        <f>ROUND('GHG and Energy Use Dec'!J29,-3)</f>
        <v>51000</v>
      </c>
      <c r="K29" s="751">
        <f>ROUND('GHG and Energy Use Dec'!K29,-3)</f>
        <v>187000</v>
      </c>
      <c r="L29" s="751">
        <f>ROUND('GHG and Energy Use Dec'!L29,-3)</f>
        <v>3000</v>
      </c>
      <c r="M29" s="751">
        <f>ROUND('GHG and Energy Use Dec'!M29,-3)</f>
        <v>241000</v>
      </c>
      <c r="N29" s="755">
        <f>(I29+J29)/M29</f>
        <v>0.21161825726141079</v>
      </c>
      <c r="O29" s="756">
        <f t="shared" si="37"/>
        <v>8.9259259259259256</v>
      </c>
      <c r="P29" s="757" t="s">
        <v>505</v>
      </c>
      <c r="Q29" s="676">
        <f>ROUND('GHG and Energy Use Dec'!Q29,-3)</f>
        <v>27000</v>
      </c>
      <c r="R29" s="676">
        <f>ROUND('GHG and Energy Use Dec'!R29,-3)</f>
        <v>0</v>
      </c>
      <c r="S29" s="676">
        <f>ROUND('GHG and Energy Use Dec'!S29,-3)</f>
        <v>0</v>
      </c>
    </row>
    <row r="30" spans="1:71" s="749" customFormat="1" x14ac:dyDescent="0.35">
      <c r="A30" s="740" t="s">
        <v>379</v>
      </c>
      <c r="B30" s="764">
        <f>B31</f>
        <v>39000</v>
      </c>
      <c r="C30" s="765">
        <f t="shared" ref="C30:D30" si="48">C31</f>
        <v>0</v>
      </c>
      <c r="D30" s="765">
        <f t="shared" si="48"/>
        <v>0</v>
      </c>
      <c r="E30" s="765">
        <f>E31</f>
        <v>39000</v>
      </c>
      <c r="F30" s="765">
        <f t="shared" ref="F30" si="49">F31</f>
        <v>0</v>
      </c>
      <c r="G30" s="766" t="e">
        <f t="shared" si="34"/>
        <v>#DIV/0!</v>
      </c>
      <c r="H30" s="767" t="e">
        <f t="shared" si="7"/>
        <v>#DIV/0!</v>
      </c>
      <c r="I30" s="741">
        <f t="shared" ref="I30:K30" si="50">I31</f>
        <v>0</v>
      </c>
      <c r="J30" s="742">
        <f t="shared" si="50"/>
        <v>0</v>
      </c>
      <c r="K30" s="742">
        <f t="shared" si="50"/>
        <v>0</v>
      </c>
      <c r="L30" s="742">
        <f>L31</f>
        <v>564000</v>
      </c>
      <c r="M30" s="742">
        <f>M31</f>
        <v>564000</v>
      </c>
      <c r="N30" s="768">
        <f t="shared" si="2"/>
        <v>0</v>
      </c>
      <c r="O30" s="769" t="e">
        <f t="shared" si="37"/>
        <v>#DIV/0!</v>
      </c>
      <c r="P30" s="770" t="e">
        <f t="shared" si="3"/>
        <v>#DIV/0!</v>
      </c>
      <c r="Q30" s="668">
        <f>Q31</f>
        <v>0</v>
      </c>
      <c r="R30" s="669">
        <f t="shared" ref="R30:S30" si="51">R31</f>
        <v>0</v>
      </c>
      <c r="S30" s="670">
        <f t="shared" si="51"/>
        <v>0</v>
      </c>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8"/>
      <c r="AS30" s="748"/>
      <c r="AT30" s="748"/>
      <c r="AU30" s="748"/>
      <c r="AV30" s="748"/>
      <c r="AW30" s="748"/>
      <c r="AX30" s="748"/>
      <c r="AY30" s="748"/>
      <c r="AZ30" s="748"/>
      <c r="BA30" s="748"/>
      <c r="BB30" s="748"/>
      <c r="BC30" s="748"/>
      <c r="BD30" s="748"/>
      <c r="BE30" s="748"/>
      <c r="BF30" s="748"/>
      <c r="BG30" s="748"/>
      <c r="BH30" s="748"/>
      <c r="BI30" s="748"/>
      <c r="BJ30" s="748"/>
      <c r="BK30" s="748"/>
      <c r="BL30" s="748"/>
      <c r="BM30" s="748"/>
      <c r="BN30" s="748"/>
      <c r="BO30" s="748"/>
      <c r="BP30" s="748"/>
      <c r="BQ30" s="748"/>
      <c r="BR30" s="748"/>
      <c r="BS30" s="748"/>
    </row>
    <row r="31" spans="1:71" x14ac:dyDescent="0.35">
      <c r="A31" s="750" t="s">
        <v>380</v>
      </c>
      <c r="B31" s="751">
        <f>ROUND('GHG and Energy Use Dec'!B31,-3)</f>
        <v>39000</v>
      </c>
      <c r="C31" s="751">
        <f>ROUND('GHG and Energy Use Dec'!C31,-3)</f>
        <v>0</v>
      </c>
      <c r="D31" s="751">
        <f>ROUND('GHG and Energy Use Dec'!D31,-3)</f>
        <v>0</v>
      </c>
      <c r="E31" s="752">
        <f>SUM(B31+D31)</f>
        <v>39000</v>
      </c>
      <c r="F31" s="752">
        <f t="shared" si="43"/>
        <v>0</v>
      </c>
      <c r="G31" s="753" t="e">
        <f>E31/Q31</f>
        <v>#DIV/0!</v>
      </c>
      <c r="H31" s="754" t="e">
        <f>E31/S31</f>
        <v>#DIV/0!</v>
      </c>
      <c r="I31" s="751">
        <f>ROUND('GHG and Energy Use Dec'!I31,-3)</f>
        <v>0</v>
      </c>
      <c r="J31" s="751">
        <f>ROUND('GHG and Energy Use Dec'!J31,-3)</f>
        <v>0</v>
      </c>
      <c r="K31" s="751">
        <f>ROUND('GHG and Energy Use Dec'!K31,-3)</f>
        <v>0</v>
      </c>
      <c r="L31" s="751">
        <f>ROUND('GHG and Energy Use Dec'!L31,-3)</f>
        <v>564000</v>
      </c>
      <c r="M31" s="751">
        <f>ROUND('GHG and Energy Use Dec'!M31,-3)</f>
        <v>564000</v>
      </c>
      <c r="N31" s="755">
        <f>(I31+J31)/M31</f>
        <v>0</v>
      </c>
      <c r="O31" s="756" t="e">
        <f t="shared" si="37"/>
        <v>#DIV/0!</v>
      </c>
      <c r="P31" s="757" t="e">
        <f t="shared" si="3"/>
        <v>#DIV/0!</v>
      </c>
      <c r="Q31" s="676">
        <f>ROUND('GHG and Energy Use Dec'!Q31,-3)</f>
        <v>0</v>
      </c>
      <c r="R31" s="676">
        <f>ROUND('GHG and Energy Use Dec'!R31,-3)</f>
        <v>0</v>
      </c>
      <c r="S31" s="676">
        <f>ROUND('GHG and Energy Use Dec'!S31,-3)</f>
        <v>0</v>
      </c>
    </row>
    <row r="32" spans="1:71" s="582" customFormat="1" x14ac:dyDescent="0.35">
      <c r="A32" s="729" t="s">
        <v>381</v>
      </c>
      <c r="B32" s="762">
        <f>B33+B39</f>
        <v>2703000</v>
      </c>
      <c r="C32" s="763">
        <f>C33+C39</f>
        <v>814000</v>
      </c>
      <c r="D32" s="763">
        <f>D33+D39</f>
        <v>519000</v>
      </c>
      <c r="E32" s="763">
        <f>E33+E39</f>
        <v>3222000</v>
      </c>
      <c r="F32" s="763">
        <f>F33+F39</f>
        <v>0</v>
      </c>
      <c r="G32" s="732">
        <f t="shared" si="34"/>
        <v>0.93067590987868287</v>
      </c>
      <c r="H32" s="733">
        <f t="shared" si="7"/>
        <v>4.0115540725615677E-2</v>
      </c>
      <c r="I32" s="762">
        <f>I33+I39</f>
        <v>8000</v>
      </c>
      <c r="J32" s="763">
        <f>J33+J39</f>
        <v>15000</v>
      </c>
      <c r="K32" s="763">
        <f>K33+K39</f>
        <v>11482000</v>
      </c>
      <c r="L32" s="763">
        <f>L33+L39</f>
        <v>32637000</v>
      </c>
      <c r="M32" s="763">
        <f>M33+M39</f>
        <v>44143000</v>
      </c>
      <c r="N32" s="734">
        <f t="shared" si="2"/>
        <v>5.2103391251160996E-4</v>
      </c>
      <c r="O32" s="735">
        <f t="shared" si="37"/>
        <v>12.750722125938763</v>
      </c>
      <c r="P32" s="736">
        <f t="shared" si="3"/>
        <v>0.5496028287556961</v>
      </c>
      <c r="Q32" s="641">
        <f>Q33+Q39</f>
        <v>3462000</v>
      </c>
      <c r="R32" s="642">
        <f>R33+R39</f>
        <v>37888000</v>
      </c>
      <c r="S32" s="647">
        <f>S33+S39</f>
        <v>80318000</v>
      </c>
    </row>
    <row r="33" spans="1:71" s="749" customFormat="1" x14ac:dyDescent="0.35">
      <c r="A33" s="740" t="s">
        <v>382</v>
      </c>
      <c r="B33" s="764">
        <f>SUM(B34:B35)</f>
        <v>21000</v>
      </c>
      <c r="C33" s="765">
        <f t="shared" ref="C33:D33" si="52">SUM(C34:C35)</f>
        <v>5000</v>
      </c>
      <c r="D33" s="765">
        <f t="shared" si="52"/>
        <v>5000</v>
      </c>
      <c r="E33" s="765">
        <f>SUM(E34:E35)</f>
        <v>26000</v>
      </c>
      <c r="F33" s="765">
        <f t="shared" ref="F33" si="53">SUM(F34:F35)</f>
        <v>0</v>
      </c>
      <c r="G33" s="766">
        <f t="shared" si="34"/>
        <v>0.17333333333333334</v>
      </c>
      <c r="H33" s="767">
        <f t="shared" si="7"/>
        <v>1.699346405228758E-2</v>
      </c>
      <c r="I33" s="764">
        <f t="shared" ref="I33:K33" si="54">SUM(I34:I35)</f>
        <v>0</v>
      </c>
      <c r="J33" s="765">
        <f t="shared" si="54"/>
        <v>0</v>
      </c>
      <c r="K33" s="765">
        <f t="shared" si="54"/>
        <v>649000</v>
      </c>
      <c r="L33" s="765">
        <f>SUM(L34:L35)</f>
        <v>320000</v>
      </c>
      <c r="M33" s="765">
        <f>SUM(M34:M35)</f>
        <v>969000</v>
      </c>
      <c r="N33" s="768">
        <f t="shared" si="2"/>
        <v>0</v>
      </c>
      <c r="O33" s="769">
        <f t="shared" si="37"/>
        <v>6.46</v>
      </c>
      <c r="P33" s="770">
        <f t="shared" si="3"/>
        <v>0.6333333333333333</v>
      </c>
      <c r="Q33" s="656">
        <f>Q34+Q35</f>
        <v>150000</v>
      </c>
      <c r="R33" s="657">
        <f t="shared" ref="R33:S33" si="55">R34+R35</f>
        <v>0</v>
      </c>
      <c r="S33" s="662">
        <f t="shared" si="55"/>
        <v>1530000</v>
      </c>
      <c r="T33" s="748"/>
      <c r="U33" s="748"/>
      <c r="V33" s="748"/>
      <c r="W33" s="748"/>
      <c r="X33" s="748"/>
      <c r="Y33" s="748"/>
      <c r="Z33" s="748"/>
      <c r="AA33" s="748"/>
      <c r="AB33" s="748"/>
      <c r="AC33" s="748"/>
      <c r="AD33" s="748"/>
      <c r="AE33" s="748"/>
      <c r="AF33" s="748"/>
      <c r="AG33" s="748"/>
      <c r="AH33" s="748"/>
      <c r="AI33" s="748"/>
      <c r="AJ33" s="748"/>
      <c r="AK33" s="748"/>
      <c r="AL33" s="748"/>
      <c r="AM33" s="748"/>
      <c r="AN33" s="748"/>
      <c r="AO33" s="748"/>
      <c r="AP33" s="748"/>
      <c r="AQ33" s="748"/>
      <c r="AR33" s="748"/>
      <c r="AS33" s="748"/>
      <c r="AT33" s="748"/>
      <c r="AU33" s="748"/>
      <c r="AV33" s="748"/>
      <c r="AW33" s="748"/>
      <c r="AX33" s="748"/>
      <c r="AY33" s="748"/>
      <c r="AZ33" s="748"/>
      <c r="BA33" s="748"/>
      <c r="BB33" s="748"/>
      <c r="BC33" s="748"/>
      <c r="BD33" s="748"/>
      <c r="BE33" s="748"/>
      <c r="BF33" s="748"/>
      <c r="BG33" s="748"/>
      <c r="BH33" s="748"/>
      <c r="BI33" s="748"/>
      <c r="BJ33" s="748"/>
      <c r="BK33" s="748"/>
      <c r="BL33" s="748"/>
      <c r="BM33" s="748"/>
      <c r="BN33" s="748"/>
      <c r="BO33" s="748"/>
      <c r="BP33" s="748"/>
      <c r="BQ33" s="748"/>
      <c r="BR33" s="748"/>
      <c r="BS33" s="748"/>
    </row>
    <row r="34" spans="1:71" x14ac:dyDescent="0.35">
      <c r="A34" s="750" t="s">
        <v>383</v>
      </c>
      <c r="B34" s="751">
        <f>ROUND('GHG and Energy Use Dec'!B34,-3)</f>
        <v>21000</v>
      </c>
      <c r="C34" s="751">
        <f>ROUND('GHG and Energy Use Dec'!C34,-3)</f>
        <v>5000</v>
      </c>
      <c r="D34" s="751">
        <f>ROUND('GHG and Energy Use Dec'!D34,-3)</f>
        <v>5000</v>
      </c>
      <c r="E34" s="752">
        <f>SUM(B34+D34)</f>
        <v>26000</v>
      </c>
      <c r="F34" s="752">
        <f t="shared" ref="F34:F35" si="56">ROUND(F93, -3)</f>
        <v>0</v>
      </c>
      <c r="G34" s="753">
        <f>E34/Q34</f>
        <v>0.17333333333333334</v>
      </c>
      <c r="H34" s="754">
        <f>E34/S34</f>
        <v>1.699346405228758E-2</v>
      </c>
      <c r="I34" s="751">
        <f>ROUND('GHG and Energy Use Dec'!I34,-3)</f>
        <v>0</v>
      </c>
      <c r="J34" s="751">
        <f>ROUND('GHG and Energy Use Dec'!J34,-3)</f>
        <v>0</v>
      </c>
      <c r="K34" s="751">
        <f>ROUND('GHG and Energy Use Dec'!K34,-3)</f>
        <v>649000</v>
      </c>
      <c r="L34" s="751">
        <f>ROUND('GHG and Energy Use Dec'!L34,-3)</f>
        <v>320000</v>
      </c>
      <c r="M34" s="751">
        <f>ROUND('GHG and Energy Use Dec'!M34,-3)</f>
        <v>969000</v>
      </c>
      <c r="N34" s="755">
        <f>(I34+J34)/M34</f>
        <v>0</v>
      </c>
      <c r="O34" s="756">
        <f t="shared" si="37"/>
        <v>6.46</v>
      </c>
      <c r="P34" s="757">
        <f t="shared" si="3"/>
        <v>0.6333333333333333</v>
      </c>
      <c r="Q34" s="676">
        <f>ROUND('GHG and Energy Use Dec'!Q34,-3)</f>
        <v>150000</v>
      </c>
      <c r="R34" s="676">
        <f>ROUND('GHG and Energy Use Dec'!R34,-3)</f>
        <v>0</v>
      </c>
      <c r="S34" s="676">
        <f>ROUND('GHG and Energy Use Dec'!S34,-3)</f>
        <v>1530000</v>
      </c>
    </row>
    <row r="35" spans="1:71" hidden="1" x14ac:dyDescent="0.35">
      <c r="A35" s="781" t="s">
        <v>373</v>
      </c>
      <c r="B35" s="772">
        <v>0</v>
      </c>
      <c r="C35" s="773">
        <v>0</v>
      </c>
      <c r="D35" s="773">
        <v>0</v>
      </c>
      <c r="E35" s="752">
        <f t="shared" ref="E35:E38" si="57">SUM(B35+D35)</f>
        <v>0</v>
      </c>
      <c r="F35" s="773">
        <f t="shared" si="56"/>
        <v>0</v>
      </c>
      <c r="G35" s="753" t="e">
        <f>E35/Q35</f>
        <v>#DIV/0!</v>
      </c>
      <c r="H35" s="754" t="e">
        <f>E35/S35</f>
        <v>#DIV/0!</v>
      </c>
      <c r="I35" s="772">
        <v>0</v>
      </c>
      <c r="J35" s="773">
        <v>0</v>
      </c>
      <c r="K35" s="773">
        <v>0</v>
      </c>
      <c r="L35" s="773">
        <v>0</v>
      </c>
      <c r="M35" s="773">
        <v>0</v>
      </c>
      <c r="N35" s="776" t="e">
        <f t="shared" si="2"/>
        <v>#DIV/0!</v>
      </c>
      <c r="O35" s="777"/>
      <c r="P35" s="778"/>
      <c r="Q35" s="779">
        <v>0</v>
      </c>
      <c r="R35" s="697">
        <v>0</v>
      </c>
      <c r="S35" s="780">
        <v>0</v>
      </c>
    </row>
    <row r="36" spans="1:71" hidden="1" x14ac:dyDescent="0.35">
      <c r="A36" s="781" t="s">
        <v>516</v>
      </c>
      <c r="B36" s="772">
        <v>0</v>
      </c>
      <c r="C36" s="773">
        <v>0</v>
      </c>
      <c r="D36" s="773">
        <v>0</v>
      </c>
      <c r="E36" s="752">
        <f t="shared" si="57"/>
        <v>0</v>
      </c>
      <c r="F36" s="773"/>
      <c r="G36" s="774" t="e">
        <f t="shared" ref="G36:G57" si="58">E36/Q36</f>
        <v>#DIV/0!</v>
      </c>
      <c r="H36" s="775" t="e">
        <f t="shared" ref="H36:H56" si="59">E36/S36</f>
        <v>#DIV/0!</v>
      </c>
      <c r="I36" s="772">
        <v>0</v>
      </c>
      <c r="J36" s="773">
        <v>0</v>
      </c>
      <c r="K36" s="773">
        <v>0</v>
      </c>
      <c r="L36" s="773">
        <v>0</v>
      </c>
      <c r="M36" s="773">
        <v>0</v>
      </c>
      <c r="N36" s="776" t="e">
        <f t="shared" si="2"/>
        <v>#DIV/0!</v>
      </c>
      <c r="O36" s="777" t="e">
        <f t="shared" si="37"/>
        <v>#DIV/0!</v>
      </c>
      <c r="P36" s="778" t="e">
        <f t="shared" si="3"/>
        <v>#DIV/0!</v>
      </c>
      <c r="Q36" s="779">
        <v>0</v>
      </c>
      <c r="R36" s="697">
        <v>0</v>
      </c>
      <c r="S36" s="780">
        <v>0</v>
      </c>
    </row>
    <row r="37" spans="1:71" hidden="1" x14ac:dyDescent="0.35">
      <c r="A37" s="781" t="s">
        <v>517</v>
      </c>
      <c r="B37" s="772">
        <v>0</v>
      </c>
      <c r="C37" s="773">
        <v>0</v>
      </c>
      <c r="D37" s="773">
        <v>0</v>
      </c>
      <c r="E37" s="752">
        <f t="shared" si="57"/>
        <v>0</v>
      </c>
      <c r="F37" s="773"/>
      <c r="G37" s="774" t="e">
        <f t="shared" si="58"/>
        <v>#DIV/0!</v>
      </c>
      <c r="H37" s="775" t="e">
        <f t="shared" si="59"/>
        <v>#DIV/0!</v>
      </c>
      <c r="I37" s="772">
        <v>0</v>
      </c>
      <c r="J37" s="773">
        <v>0</v>
      </c>
      <c r="K37" s="773">
        <v>0</v>
      </c>
      <c r="L37" s="773">
        <v>0</v>
      </c>
      <c r="M37" s="773">
        <v>0</v>
      </c>
      <c r="N37" s="776" t="e">
        <f t="shared" si="2"/>
        <v>#DIV/0!</v>
      </c>
      <c r="O37" s="777" t="e">
        <f t="shared" si="37"/>
        <v>#DIV/0!</v>
      </c>
      <c r="P37" s="778" t="e">
        <f t="shared" si="3"/>
        <v>#DIV/0!</v>
      </c>
      <c r="Q37" s="779">
        <v>0</v>
      </c>
      <c r="R37" s="697">
        <v>0</v>
      </c>
      <c r="S37" s="780">
        <v>0</v>
      </c>
    </row>
    <row r="38" spans="1:71" hidden="1" x14ac:dyDescent="0.35">
      <c r="A38" s="781" t="s">
        <v>518</v>
      </c>
      <c r="B38" s="772">
        <v>0</v>
      </c>
      <c r="C38" s="773">
        <v>0</v>
      </c>
      <c r="D38" s="773">
        <v>0</v>
      </c>
      <c r="E38" s="752">
        <f t="shared" si="57"/>
        <v>0</v>
      </c>
      <c r="F38" s="773"/>
      <c r="G38" s="774" t="e">
        <f t="shared" si="58"/>
        <v>#DIV/0!</v>
      </c>
      <c r="H38" s="775" t="e">
        <f t="shared" si="59"/>
        <v>#DIV/0!</v>
      </c>
      <c r="I38" s="772">
        <v>0</v>
      </c>
      <c r="J38" s="773">
        <v>0</v>
      </c>
      <c r="K38" s="773">
        <v>0</v>
      </c>
      <c r="L38" s="773">
        <v>0</v>
      </c>
      <c r="M38" s="773">
        <v>0</v>
      </c>
      <c r="N38" s="776" t="e">
        <f t="shared" si="2"/>
        <v>#DIV/0!</v>
      </c>
      <c r="O38" s="777" t="e">
        <f t="shared" si="37"/>
        <v>#DIV/0!</v>
      </c>
      <c r="P38" s="778" t="e">
        <f t="shared" si="3"/>
        <v>#DIV/0!</v>
      </c>
      <c r="Q38" s="779">
        <v>0</v>
      </c>
      <c r="R38" s="697">
        <v>0</v>
      </c>
      <c r="S38" s="780">
        <v>0</v>
      </c>
    </row>
    <row r="39" spans="1:71" s="749" customFormat="1" x14ac:dyDescent="0.35">
      <c r="A39" s="740" t="s">
        <v>384</v>
      </c>
      <c r="B39" s="764">
        <f>B40+B49</f>
        <v>2682000</v>
      </c>
      <c r="C39" s="765">
        <f t="shared" ref="C39:D39" si="60">C40+C49</f>
        <v>809000</v>
      </c>
      <c r="D39" s="765">
        <f t="shared" si="60"/>
        <v>514000</v>
      </c>
      <c r="E39" s="765">
        <f>E40+E49</f>
        <v>3196000</v>
      </c>
      <c r="F39" s="765">
        <f t="shared" ref="F39" si="61">F40+F49</f>
        <v>0</v>
      </c>
      <c r="G39" s="766">
        <f t="shared" si="58"/>
        <v>0.96497584541062797</v>
      </c>
      <c r="H39" s="767">
        <f t="shared" si="59"/>
        <v>4.0564552977610802E-2</v>
      </c>
      <c r="I39" s="764">
        <f t="shared" ref="I39:K39" si="62">I40+I49</f>
        <v>8000</v>
      </c>
      <c r="J39" s="765">
        <f t="shared" si="62"/>
        <v>15000</v>
      </c>
      <c r="K39" s="765">
        <f t="shared" si="62"/>
        <v>10833000</v>
      </c>
      <c r="L39" s="765">
        <f>L40+L49</f>
        <v>32317000</v>
      </c>
      <c r="M39" s="765">
        <f>M40+M49</f>
        <v>43174000</v>
      </c>
      <c r="N39" s="768">
        <f t="shared" si="2"/>
        <v>5.3272803075925322E-4</v>
      </c>
      <c r="O39" s="769">
        <f t="shared" si="37"/>
        <v>13.035628019323671</v>
      </c>
      <c r="P39" s="770">
        <f t="shared" si="3"/>
        <v>0.54797684926638579</v>
      </c>
      <c r="Q39" s="656">
        <f t="shared" ref="Q39:S39" si="63">Q40+Q41+Q49</f>
        <v>3312000</v>
      </c>
      <c r="R39" s="657">
        <f t="shared" si="63"/>
        <v>37888000</v>
      </c>
      <c r="S39" s="662">
        <f t="shared" si="63"/>
        <v>78788000</v>
      </c>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AW39" s="748"/>
      <c r="AX39" s="748"/>
      <c r="AY39" s="748"/>
      <c r="AZ39" s="748"/>
      <c r="BA39" s="748"/>
      <c r="BB39" s="748"/>
      <c r="BC39" s="748"/>
      <c r="BD39" s="748"/>
      <c r="BE39" s="748"/>
      <c r="BF39" s="748"/>
      <c r="BG39" s="748"/>
      <c r="BH39" s="748"/>
      <c r="BI39" s="748"/>
      <c r="BJ39" s="748"/>
      <c r="BK39" s="748"/>
      <c r="BL39" s="748"/>
      <c r="BM39" s="748"/>
      <c r="BN39" s="748"/>
      <c r="BO39" s="748"/>
      <c r="BP39" s="748"/>
      <c r="BQ39" s="748"/>
      <c r="BR39" s="748"/>
      <c r="BS39" s="748"/>
    </row>
    <row r="40" spans="1:71" x14ac:dyDescent="0.35">
      <c r="A40" s="782" t="s">
        <v>385</v>
      </c>
      <c r="B40" s="772">
        <f>ROUND('GHG and Energy Use Dec'!B40,-3)</f>
        <v>3000</v>
      </c>
      <c r="C40" s="772">
        <f>ROUND('GHG and Energy Use Dec'!C40,-3)</f>
        <v>2000</v>
      </c>
      <c r="D40" s="772">
        <f>ROUND('GHG and Energy Use Dec'!D40,-3)</f>
        <v>2000</v>
      </c>
      <c r="E40" s="752">
        <f t="shared" ref="E40:E48" si="64">SUM(B40+D40)</f>
        <v>5000</v>
      </c>
      <c r="F40" s="773">
        <f t="shared" ref="F40" si="65">ROUND(F100, -3)</f>
        <v>0</v>
      </c>
      <c r="G40" s="774" t="s">
        <v>505</v>
      </c>
      <c r="H40" s="775" t="s">
        <v>505</v>
      </c>
      <c r="I40" s="772">
        <f>ROUND('GHG and Energy Use Dec'!I40,-3)</f>
        <v>0</v>
      </c>
      <c r="J40" s="772">
        <f>ROUND('GHG and Energy Use Dec'!J40,-3)</f>
        <v>0</v>
      </c>
      <c r="K40" s="772">
        <f>ROUND('GHG and Energy Use Dec'!K40,-3)</f>
        <v>20000</v>
      </c>
      <c r="L40" s="772">
        <f>ROUND('GHG and Energy Use Dec'!L40,-3)</f>
        <v>37000</v>
      </c>
      <c r="M40" s="772">
        <f>ROUND('GHG and Energy Use Dec'!M40,-3)</f>
        <v>57000</v>
      </c>
      <c r="N40" s="776">
        <f t="shared" si="2"/>
        <v>0</v>
      </c>
      <c r="O40" s="777" t="s">
        <v>505</v>
      </c>
      <c r="P40" s="778" t="s">
        <v>505</v>
      </c>
      <c r="Q40" s="779"/>
      <c r="R40" s="697"/>
      <c r="S40" s="780"/>
    </row>
    <row r="41" spans="1:71" hidden="1" x14ac:dyDescent="0.35">
      <c r="A41" s="781" t="s">
        <v>373</v>
      </c>
      <c r="B41" s="772">
        <v>0</v>
      </c>
      <c r="C41" s="773">
        <v>0</v>
      </c>
      <c r="D41" s="773">
        <v>0</v>
      </c>
      <c r="E41" s="773">
        <f t="shared" si="64"/>
        <v>0</v>
      </c>
      <c r="F41" s="773"/>
      <c r="G41" s="774" t="e">
        <f t="shared" si="58"/>
        <v>#DIV/0!</v>
      </c>
      <c r="H41" s="775" t="e">
        <f t="shared" si="59"/>
        <v>#DIV/0!</v>
      </c>
      <c r="I41" s="772">
        <v>0</v>
      </c>
      <c r="J41" s="773">
        <v>0</v>
      </c>
      <c r="K41" s="773">
        <v>0</v>
      </c>
      <c r="L41" s="773">
        <v>0</v>
      </c>
      <c r="M41" s="773">
        <v>0</v>
      </c>
      <c r="N41" s="776"/>
      <c r="O41" s="777" t="e">
        <f t="shared" si="37"/>
        <v>#DIV/0!</v>
      </c>
      <c r="P41" s="778" t="e">
        <f t="shared" si="3"/>
        <v>#DIV/0!</v>
      </c>
      <c r="Q41" s="779">
        <v>0</v>
      </c>
      <c r="R41" s="697">
        <v>0</v>
      </c>
      <c r="S41" s="780">
        <v>0</v>
      </c>
    </row>
    <row r="42" spans="1:71" hidden="1" x14ac:dyDescent="0.35">
      <c r="A42" s="781" t="s">
        <v>525</v>
      </c>
      <c r="B42" s="772">
        <v>0</v>
      </c>
      <c r="C42" s="773">
        <v>0</v>
      </c>
      <c r="D42" s="773">
        <v>0</v>
      </c>
      <c r="E42" s="773">
        <f t="shared" si="64"/>
        <v>0</v>
      </c>
      <c r="F42" s="773"/>
      <c r="G42" s="774" t="e">
        <f t="shared" si="58"/>
        <v>#DIV/0!</v>
      </c>
      <c r="H42" s="775" t="e">
        <f t="shared" si="59"/>
        <v>#DIV/0!</v>
      </c>
      <c r="I42" s="772">
        <v>0</v>
      </c>
      <c r="J42" s="773">
        <v>0</v>
      </c>
      <c r="K42" s="773">
        <v>0</v>
      </c>
      <c r="L42" s="773">
        <v>0</v>
      </c>
      <c r="M42" s="773">
        <v>0</v>
      </c>
      <c r="N42" s="776" t="e">
        <f t="shared" si="2"/>
        <v>#DIV/0!</v>
      </c>
      <c r="O42" s="777" t="e">
        <f t="shared" si="37"/>
        <v>#DIV/0!</v>
      </c>
      <c r="P42" s="778" t="e">
        <f t="shared" si="3"/>
        <v>#DIV/0!</v>
      </c>
      <c r="Q42" s="779">
        <v>0</v>
      </c>
      <c r="R42" s="697">
        <v>0</v>
      </c>
      <c r="S42" s="780">
        <v>0</v>
      </c>
    </row>
    <row r="43" spans="1:71" hidden="1" x14ac:dyDescent="0.35">
      <c r="A43" s="781" t="s">
        <v>526</v>
      </c>
      <c r="B43" s="772">
        <v>0</v>
      </c>
      <c r="C43" s="773">
        <v>0</v>
      </c>
      <c r="D43" s="773">
        <v>0</v>
      </c>
      <c r="E43" s="773">
        <f t="shared" si="64"/>
        <v>0</v>
      </c>
      <c r="F43" s="773"/>
      <c r="G43" s="774" t="e">
        <f t="shared" si="58"/>
        <v>#DIV/0!</v>
      </c>
      <c r="H43" s="775" t="e">
        <f t="shared" si="59"/>
        <v>#DIV/0!</v>
      </c>
      <c r="I43" s="772">
        <v>0</v>
      </c>
      <c r="J43" s="773">
        <v>0</v>
      </c>
      <c r="K43" s="773">
        <v>0</v>
      </c>
      <c r="L43" s="773">
        <v>0</v>
      </c>
      <c r="M43" s="773">
        <v>0</v>
      </c>
      <c r="N43" s="776" t="e">
        <f t="shared" si="2"/>
        <v>#DIV/0!</v>
      </c>
      <c r="O43" s="777" t="e">
        <f t="shared" si="37"/>
        <v>#DIV/0!</v>
      </c>
      <c r="P43" s="778" t="e">
        <f t="shared" si="3"/>
        <v>#DIV/0!</v>
      </c>
      <c r="Q43" s="779">
        <v>0</v>
      </c>
      <c r="R43" s="697">
        <v>0</v>
      </c>
      <c r="S43" s="780">
        <v>0</v>
      </c>
    </row>
    <row r="44" spans="1:71" hidden="1" x14ac:dyDescent="0.35">
      <c r="A44" s="781" t="s">
        <v>527</v>
      </c>
      <c r="B44" s="772">
        <v>0</v>
      </c>
      <c r="C44" s="773">
        <v>0</v>
      </c>
      <c r="D44" s="773">
        <v>0</v>
      </c>
      <c r="E44" s="773">
        <f t="shared" si="64"/>
        <v>0</v>
      </c>
      <c r="F44" s="773"/>
      <c r="G44" s="774" t="e">
        <f t="shared" si="58"/>
        <v>#DIV/0!</v>
      </c>
      <c r="H44" s="775" t="e">
        <f t="shared" si="59"/>
        <v>#DIV/0!</v>
      </c>
      <c r="I44" s="772">
        <v>0</v>
      </c>
      <c r="J44" s="773">
        <v>0</v>
      </c>
      <c r="K44" s="773">
        <v>0</v>
      </c>
      <c r="L44" s="773">
        <v>0</v>
      </c>
      <c r="M44" s="773">
        <v>0</v>
      </c>
      <c r="N44" s="776" t="e">
        <f t="shared" si="2"/>
        <v>#DIV/0!</v>
      </c>
      <c r="O44" s="777" t="e">
        <f t="shared" si="37"/>
        <v>#DIV/0!</v>
      </c>
      <c r="P44" s="778" t="e">
        <f t="shared" si="3"/>
        <v>#DIV/0!</v>
      </c>
      <c r="Q44" s="779">
        <v>0</v>
      </c>
      <c r="R44" s="697">
        <v>0</v>
      </c>
      <c r="S44" s="780">
        <v>0</v>
      </c>
    </row>
    <row r="45" spans="1:71" hidden="1" x14ac:dyDescent="0.35">
      <c r="A45" s="781" t="s">
        <v>528</v>
      </c>
      <c r="B45" s="772">
        <v>0</v>
      </c>
      <c r="C45" s="773">
        <v>0</v>
      </c>
      <c r="D45" s="773">
        <v>0</v>
      </c>
      <c r="E45" s="773">
        <f t="shared" si="64"/>
        <v>0</v>
      </c>
      <c r="F45" s="773"/>
      <c r="G45" s="774" t="e">
        <f t="shared" si="58"/>
        <v>#DIV/0!</v>
      </c>
      <c r="H45" s="775" t="e">
        <f t="shared" si="59"/>
        <v>#DIV/0!</v>
      </c>
      <c r="I45" s="772">
        <v>0</v>
      </c>
      <c r="J45" s="773">
        <v>0</v>
      </c>
      <c r="K45" s="773">
        <v>0</v>
      </c>
      <c r="L45" s="773">
        <v>0</v>
      </c>
      <c r="M45" s="773">
        <v>0</v>
      </c>
      <c r="N45" s="776" t="e">
        <f t="shared" si="2"/>
        <v>#DIV/0!</v>
      </c>
      <c r="O45" s="777" t="e">
        <f t="shared" si="37"/>
        <v>#DIV/0!</v>
      </c>
      <c r="P45" s="778" t="e">
        <f t="shared" si="3"/>
        <v>#DIV/0!</v>
      </c>
      <c r="Q45" s="779">
        <v>0</v>
      </c>
      <c r="R45" s="697">
        <v>0</v>
      </c>
      <c r="S45" s="780">
        <v>0</v>
      </c>
    </row>
    <row r="46" spans="1:71" hidden="1" x14ac:dyDescent="0.35">
      <c r="A46" s="781" t="s">
        <v>529</v>
      </c>
      <c r="B46" s="772">
        <v>0</v>
      </c>
      <c r="C46" s="773">
        <v>0</v>
      </c>
      <c r="D46" s="773">
        <v>0</v>
      </c>
      <c r="E46" s="773">
        <f t="shared" si="64"/>
        <v>0</v>
      </c>
      <c r="F46" s="773"/>
      <c r="G46" s="774" t="e">
        <f t="shared" si="58"/>
        <v>#DIV/0!</v>
      </c>
      <c r="H46" s="775" t="e">
        <f t="shared" si="59"/>
        <v>#DIV/0!</v>
      </c>
      <c r="I46" s="772">
        <v>0</v>
      </c>
      <c r="J46" s="773">
        <v>0</v>
      </c>
      <c r="K46" s="773">
        <v>0</v>
      </c>
      <c r="L46" s="773">
        <v>0</v>
      </c>
      <c r="M46" s="773">
        <v>0</v>
      </c>
      <c r="N46" s="776" t="e">
        <f t="shared" si="2"/>
        <v>#DIV/0!</v>
      </c>
      <c r="O46" s="777" t="e">
        <f t="shared" si="37"/>
        <v>#DIV/0!</v>
      </c>
      <c r="P46" s="778" t="e">
        <f t="shared" si="3"/>
        <v>#DIV/0!</v>
      </c>
      <c r="Q46" s="779">
        <v>0</v>
      </c>
      <c r="R46" s="697">
        <v>0</v>
      </c>
      <c r="S46" s="780">
        <v>0</v>
      </c>
    </row>
    <row r="47" spans="1:71" hidden="1" x14ac:dyDescent="0.35">
      <c r="A47" s="781" t="s">
        <v>530</v>
      </c>
      <c r="B47" s="772">
        <v>0</v>
      </c>
      <c r="C47" s="773">
        <v>0</v>
      </c>
      <c r="D47" s="773">
        <v>0</v>
      </c>
      <c r="E47" s="773">
        <f t="shared" si="64"/>
        <v>0</v>
      </c>
      <c r="F47" s="773"/>
      <c r="G47" s="774" t="e">
        <f t="shared" si="58"/>
        <v>#DIV/0!</v>
      </c>
      <c r="H47" s="775" t="e">
        <f t="shared" si="59"/>
        <v>#DIV/0!</v>
      </c>
      <c r="I47" s="772">
        <v>0</v>
      </c>
      <c r="J47" s="773">
        <v>0</v>
      </c>
      <c r="K47" s="773">
        <v>0</v>
      </c>
      <c r="L47" s="773">
        <v>0</v>
      </c>
      <c r="M47" s="773">
        <v>0</v>
      </c>
      <c r="N47" s="776" t="e">
        <f t="shared" si="2"/>
        <v>#DIV/0!</v>
      </c>
      <c r="O47" s="777" t="e">
        <f t="shared" si="37"/>
        <v>#DIV/0!</v>
      </c>
      <c r="P47" s="778" t="e">
        <f t="shared" si="3"/>
        <v>#DIV/0!</v>
      </c>
      <c r="Q47" s="779">
        <v>0</v>
      </c>
      <c r="R47" s="697">
        <v>0</v>
      </c>
      <c r="S47" s="780">
        <v>0</v>
      </c>
    </row>
    <row r="48" spans="1:71" hidden="1" x14ac:dyDescent="0.35">
      <c r="A48" s="781" t="s">
        <v>531</v>
      </c>
      <c r="B48" s="772">
        <v>0</v>
      </c>
      <c r="C48" s="773">
        <v>0</v>
      </c>
      <c r="D48" s="773">
        <v>0</v>
      </c>
      <c r="E48" s="773">
        <f t="shared" si="64"/>
        <v>0</v>
      </c>
      <c r="F48" s="773"/>
      <c r="G48" s="774" t="e">
        <f t="shared" si="58"/>
        <v>#DIV/0!</v>
      </c>
      <c r="H48" s="775" t="e">
        <f t="shared" si="59"/>
        <v>#DIV/0!</v>
      </c>
      <c r="I48" s="772">
        <v>0</v>
      </c>
      <c r="J48" s="773">
        <v>0</v>
      </c>
      <c r="K48" s="773">
        <v>0</v>
      </c>
      <c r="L48" s="773">
        <v>0</v>
      </c>
      <c r="M48" s="773">
        <v>0</v>
      </c>
      <c r="N48" s="776" t="e">
        <f t="shared" si="2"/>
        <v>#DIV/0!</v>
      </c>
      <c r="O48" s="777" t="e">
        <f t="shared" si="37"/>
        <v>#DIV/0!</v>
      </c>
      <c r="P48" s="778" t="e">
        <f t="shared" si="3"/>
        <v>#DIV/0!</v>
      </c>
      <c r="Q48" s="779">
        <v>0</v>
      </c>
      <c r="R48" s="697">
        <v>0</v>
      </c>
      <c r="S48" s="780">
        <v>0</v>
      </c>
    </row>
    <row r="49" spans="1:71" s="749" customFormat="1" x14ac:dyDescent="0.35">
      <c r="A49" s="783" t="s">
        <v>386</v>
      </c>
      <c r="B49" s="764">
        <f>SUM(B50:B59)</f>
        <v>2679000</v>
      </c>
      <c r="C49" s="765">
        <f t="shared" ref="C49:E49" si="66">SUM(C50:C59)</f>
        <v>807000</v>
      </c>
      <c r="D49" s="765">
        <f t="shared" si="66"/>
        <v>512000</v>
      </c>
      <c r="E49" s="765">
        <f t="shared" si="66"/>
        <v>3191000</v>
      </c>
      <c r="F49" s="765">
        <f t="shared" ref="F49" si="67">SUM(F51:F59)</f>
        <v>0</v>
      </c>
      <c r="G49" s="766">
        <f t="shared" si="58"/>
        <v>0.96346618357487923</v>
      </c>
      <c r="H49" s="767">
        <f t="shared" si="59"/>
        <v>4.0501091536782254E-2</v>
      </c>
      <c r="I49" s="764">
        <f>SUM(I50:I59)</f>
        <v>8000</v>
      </c>
      <c r="J49" s="765">
        <f t="shared" ref="J49:L49" si="68">SUM(J50:J59)</f>
        <v>15000</v>
      </c>
      <c r="K49" s="765">
        <f t="shared" si="68"/>
        <v>10813000</v>
      </c>
      <c r="L49" s="765">
        <f t="shared" si="68"/>
        <v>32280000</v>
      </c>
      <c r="M49" s="765">
        <f>SUM(M50:M59)</f>
        <v>43117000</v>
      </c>
      <c r="N49" s="768">
        <f t="shared" si="2"/>
        <v>5.3343228888837353E-4</v>
      </c>
      <c r="O49" s="769">
        <f>M49/Q49</f>
        <v>13.018417874396135</v>
      </c>
      <c r="P49" s="770">
        <f>M49/S49</f>
        <v>0.54725338884094021</v>
      </c>
      <c r="Q49" s="656">
        <f>SUM(Q50:Q59)</f>
        <v>3312000</v>
      </c>
      <c r="R49" s="657">
        <f>SUM(R50:R59)</f>
        <v>37888000</v>
      </c>
      <c r="S49" s="662">
        <f>SUM(S50:S59)</f>
        <v>78788000</v>
      </c>
      <c r="T49" s="748"/>
      <c r="U49" s="748"/>
      <c r="V49" s="748"/>
      <c r="W49" s="748"/>
      <c r="X49" s="748"/>
      <c r="Y49" s="748"/>
      <c r="Z49" s="748"/>
      <c r="AA49" s="748"/>
      <c r="AB49" s="748"/>
      <c r="AC49" s="748"/>
      <c r="AD49" s="748"/>
      <c r="AE49" s="748"/>
      <c r="AF49" s="748"/>
      <c r="AG49" s="748"/>
      <c r="AH49" s="748"/>
      <c r="AI49" s="748"/>
      <c r="AJ49" s="748"/>
      <c r="AK49" s="748"/>
      <c r="AL49" s="748"/>
      <c r="AM49" s="748"/>
      <c r="AN49" s="748"/>
      <c r="AO49" s="748"/>
      <c r="AP49" s="748"/>
      <c r="AQ49" s="748"/>
      <c r="AR49" s="748"/>
      <c r="AS49" s="748"/>
      <c r="AT49" s="748"/>
      <c r="AU49" s="748"/>
      <c r="AV49" s="748"/>
      <c r="AW49" s="748"/>
      <c r="AX49" s="748"/>
      <c r="AY49" s="748"/>
      <c r="AZ49" s="748"/>
      <c r="BA49" s="748"/>
      <c r="BB49" s="748"/>
      <c r="BC49" s="748"/>
      <c r="BD49" s="748"/>
      <c r="BE49" s="748"/>
      <c r="BF49" s="748"/>
      <c r="BG49" s="748"/>
      <c r="BH49" s="748"/>
      <c r="BI49" s="748"/>
      <c r="BJ49" s="748"/>
      <c r="BK49" s="748"/>
      <c r="BL49" s="748"/>
      <c r="BM49" s="748"/>
      <c r="BN49" s="748"/>
      <c r="BO49" s="748"/>
      <c r="BP49" s="748"/>
      <c r="BQ49" s="748"/>
      <c r="BR49" s="748"/>
      <c r="BS49" s="748"/>
    </row>
    <row r="50" spans="1:71" x14ac:dyDescent="0.35">
      <c r="A50" s="784" t="s">
        <v>532</v>
      </c>
      <c r="B50" s="751">
        <f>ROUND('GHG and Energy Use Dec'!B50,-3)</f>
        <v>879000</v>
      </c>
      <c r="C50" s="751">
        <f>ROUND('GHG and Energy Use Dec'!C50,-3)</f>
        <v>477000</v>
      </c>
      <c r="D50" s="751">
        <f>ROUND('GHG and Energy Use Dec'!D50,-3)</f>
        <v>302000</v>
      </c>
      <c r="E50" s="752">
        <f t="shared" ref="E50:E59" si="69">SUM(B50+D50)</f>
        <v>1181000</v>
      </c>
      <c r="F50" s="752">
        <f t="shared" ref="F50:F59" si="70">ROUND(F109, -3)</f>
        <v>0</v>
      </c>
      <c r="G50" s="753">
        <f t="shared" si="58"/>
        <v>0.78785857238158774</v>
      </c>
      <c r="H50" s="754">
        <f t="shared" si="59"/>
        <v>4.9191936021326224E-2</v>
      </c>
      <c r="I50" s="751">
        <f>ROUND('GHG and Energy Use Dec'!I50,-3)</f>
        <v>0</v>
      </c>
      <c r="J50" s="751">
        <f>ROUND('GHG and Energy Use Dec'!J50,-3)</f>
        <v>0</v>
      </c>
      <c r="K50" s="751">
        <f>ROUND('GHG and Energy Use Dec'!K50,-3)</f>
        <v>6227000</v>
      </c>
      <c r="L50" s="751">
        <f>ROUND('GHG and Energy Use Dec'!L50,-3)</f>
        <v>8339000</v>
      </c>
      <c r="M50" s="751">
        <f>ROUND('GHG and Energy Use Dec'!M50,-3)</f>
        <v>14566000</v>
      </c>
      <c r="N50" s="755">
        <f t="shared" si="2"/>
        <v>0</v>
      </c>
      <c r="O50" s="756">
        <f t="shared" ref="O50:O57" si="71">M50/Q50</f>
        <v>9.7171447631754511</v>
      </c>
      <c r="P50" s="757">
        <f t="shared" si="3"/>
        <v>0.6067144285238254</v>
      </c>
      <c r="Q50" s="676">
        <f>ROUND('GHG and Energy Use Dec'!Q50,-3)</f>
        <v>1499000</v>
      </c>
      <c r="R50" s="676">
        <f>ROUND('GHG and Energy Use Dec'!R50,-3)</f>
        <v>0</v>
      </c>
      <c r="S50" s="676">
        <f>ROUND('GHG and Energy Use Dec'!S50,-3)</f>
        <v>24008000</v>
      </c>
    </row>
    <row r="51" spans="1:71" hidden="1" x14ac:dyDescent="0.35">
      <c r="A51" s="784" t="s">
        <v>569</v>
      </c>
      <c r="B51" s="751">
        <f>ROUND('GHG and Energy Use Dec'!B51,-3)</f>
        <v>0</v>
      </c>
      <c r="C51" s="751">
        <f>ROUND('GHG and Energy Use Dec'!C51,-3)</f>
        <v>0</v>
      </c>
      <c r="D51" s="751">
        <f>ROUND('GHG and Energy Use Dec'!D51,-3)</f>
        <v>0</v>
      </c>
      <c r="E51" s="752">
        <f t="shared" si="69"/>
        <v>0</v>
      </c>
      <c r="F51" s="752">
        <f t="shared" si="70"/>
        <v>0</v>
      </c>
      <c r="G51" s="753" t="e">
        <f t="shared" si="58"/>
        <v>#DIV/0!</v>
      </c>
      <c r="H51" s="754" t="e">
        <f t="shared" si="59"/>
        <v>#DIV/0!</v>
      </c>
      <c r="I51" s="751">
        <f>ROUND('GHG and Energy Use Dec'!I51,-3)</f>
        <v>0</v>
      </c>
      <c r="J51" s="751">
        <f>ROUND('GHG and Energy Use Dec'!J51,-3)</f>
        <v>0</v>
      </c>
      <c r="K51" s="751">
        <f>ROUND('GHG and Energy Use Dec'!K51,-3)</f>
        <v>0</v>
      </c>
      <c r="L51" s="751">
        <f>ROUND('GHG and Energy Use Dec'!L51,-3)</f>
        <v>0</v>
      </c>
      <c r="M51" s="751">
        <f>ROUND('GHG and Energy Use Dec'!M51,-3)</f>
        <v>0</v>
      </c>
      <c r="N51" s="755" t="e">
        <f t="shared" si="2"/>
        <v>#DIV/0!</v>
      </c>
      <c r="O51" s="756" t="e">
        <f t="shared" si="71"/>
        <v>#DIV/0!</v>
      </c>
      <c r="P51" s="757" t="e">
        <f t="shared" si="3"/>
        <v>#DIV/0!</v>
      </c>
      <c r="Q51" s="676">
        <f>ROUND('GHG and Energy Use Dec'!Q51,-3)</f>
        <v>0</v>
      </c>
      <c r="R51" s="676">
        <f>ROUND('GHG and Energy Use Dec'!R51,-3)</f>
        <v>0</v>
      </c>
      <c r="S51" s="676">
        <f>ROUND('GHG and Energy Use Dec'!S51,-3)</f>
        <v>0</v>
      </c>
    </row>
    <row r="52" spans="1:71" x14ac:dyDescent="0.35">
      <c r="A52" s="784" t="s">
        <v>534</v>
      </c>
      <c r="B52" s="751">
        <f>ROUND('GHG and Energy Use Dec'!B52,-3)</f>
        <v>297000</v>
      </c>
      <c r="C52" s="751">
        <f>ROUND('GHG and Energy Use Dec'!C52,-3)</f>
        <v>90000</v>
      </c>
      <c r="D52" s="751">
        <f>ROUND('GHG and Energy Use Dec'!D52,-3)</f>
        <v>56000</v>
      </c>
      <c r="E52" s="752">
        <f t="shared" si="69"/>
        <v>353000</v>
      </c>
      <c r="F52" s="752">
        <f t="shared" si="70"/>
        <v>0</v>
      </c>
      <c r="G52" s="753">
        <f t="shared" si="58"/>
        <v>0.42530120481927713</v>
      </c>
      <c r="H52" s="754">
        <f t="shared" si="59"/>
        <v>1.2715680270883614E-2</v>
      </c>
      <c r="I52" s="751">
        <f>ROUND('GHG and Energy Use Dec'!I52,-3)</f>
        <v>0</v>
      </c>
      <c r="J52" s="751">
        <f>ROUND('GHG and Energy Use Dec'!J52,-3)</f>
        <v>0</v>
      </c>
      <c r="K52" s="751">
        <f>ROUND('GHG and Energy Use Dec'!K52,-3)</f>
        <v>1275000</v>
      </c>
      <c r="L52" s="751">
        <f>ROUND('GHG and Energy Use Dec'!L52,-3)</f>
        <v>4252000</v>
      </c>
      <c r="M52" s="751">
        <f>ROUND('GHG and Energy Use Dec'!M52,-3)</f>
        <v>5526000</v>
      </c>
      <c r="N52" s="755">
        <f t="shared" si="2"/>
        <v>0</v>
      </c>
      <c r="O52" s="756">
        <f t="shared" si="71"/>
        <v>6.6578313253012045</v>
      </c>
      <c r="P52" s="757">
        <f t="shared" si="3"/>
        <v>0.1990562299628976</v>
      </c>
      <c r="Q52" s="676">
        <f>ROUND('GHG and Energy Use Dec'!Q52,-3)</f>
        <v>830000</v>
      </c>
      <c r="R52" s="676">
        <f>ROUND('GHG and Energy Use Dec'!R52,-3)</f>
        <v>0</v>
      </c>
      <c r="S52" s="676">
        <f>ROUND('GHG and Energy Use Dec'!S52,-3)</f>
        <v>27761000</v>
      </c>
    </row>
    <row r="53" spans="1:71" x14ac:dyDescent="0.35">
      <c r="A53" s="784" t="s">
        <v>535</v>
      </c>
      <c r="B53" s="751">
        <f>ROUND('GHG and Energy Use Dec'!B53,-3)</f>
        <v>1000</v>
      </c>
      <c r="C53" s="751">
        <f>ROUND('GHG and Energy Use Dec'!C53,-3)</f>
        <v>3000</v>
      </c>
      <c r="D53" s="751">
        <f>ROUND('GHG and Energy Use Dec'!D53,-3)</f>
        <v>2000</v>
      </c>
      <c r="E53" s="752">
        <f t="shared" si="69"/>
        <v>3000</v>
      </c>
      <c r="F53" s="752">
        <f t="shared" si="70"/>
        <v>0</v>
      </c>
      <c r="G53" s="753">
        <f t="shared" si="58"/>
        <v>0.5</v>
      </c>
      <c r="H53" s="757" t="s">
        <v>505</v>
      </c>
      <c r="I53" s="751">
        <f>ROUND('GHG and Energy Use Dec'!I53,-3)</f>
        <v>0</v>
      </c>
      <c r="J53" s="751">
        <f>ROUND('GHG and Energy Use Dec'!J53,-3)</f>
        <v>0</v>
      </c>
      <c r="K53" s="751">
        <f>ROUND('GHG and Energy Use Dec'!K53,-3)</f>
        <v>35000</v>
      </c>
      <c r="L53" s="751">
        <f>ROUND('GHG and Energy Use Dec'!L53,-3)</f>
        <v>8000</v>
      </c>
      <c r="M53" s="751">
        <f>ROUND('GHG and Energy Use Dec'!M53,-3)</f>
        <v>43000</v>
      </c>
      <c r="N53" s="755">
        <f t="shared" si="2"/>
        <v>0</v>
      </c>
      <c r="O53" s="756">
        <f t="shared" si="71"/>
        <v>7.166666666666667</v>
      </c>
      <c r="P53" s="757" t="s">
        <v>505</v>
      </c>
      <c r="Q53" s="676">
        <f>ROUND('GHG and Energy Use Dec'!Q53,-3)</f>
        <v>6000</v>
      </c>
      <c r="R53" s="676">
        <f>ROUND('GHG and Energy Use Dec'!R53,-3)</f>
        <v>0</v>
      </c>
      <c r="S53" s="676">
        <f>ROUND('GHG and Energy Use Dec'!S53,-3)</f>
        <v>0</v>
      </c>
    </row>
    <row r="54" spans="1:71" x14ac:dyDescent="0.35">
      <c r="A54" s="784" t="s">
        <v>537</v>
      </c>
      <c r="B54" s="751">
        <f>ROUND('GHG and Energy Use Dec'!B54,-3)</f>
        <v>41000</v>
      </c>
      <c r="C54" s="751">
        <f>ROUND('GHG and Energy Use Dec'!C54,-3)</f>
        <v>1000</v>
      </c>
      <c r="D54" s="751">
        <f>ROUND('GHG and Energy Use Dec'!D54,-3)</f>
        <v>0</v>
      </c>
      <c r="E54" s="752">
        <f t="shared" si="69"/>
        <v>41000</v>
      </c>
      <c r="F54" s="752">
        <f t="shared" si="70"/>
        <v>0</v>
      </c>
      <c r="G54" s="753">
        <f t="shared" si="58"/>
        <v>0.15708812260536398</v>
      </c>
      <c r="H54" s="754">
        <f t="shared" si="59"/>
        <v>8.9853166776243699E-3</v>
      </c>
      <c r="I54" s="751">
        <f>ROUND('GHG and Energy Use Dec'!I54,-3)</f>
        <v>0</v>
      </c>
      <c r="J54" s="751">
        <f>ROUND('GHG and Energy Use Dec'!J54,-3)</f>
        <v>0</v>
      </c>
      <c r="K54" s="751">
        <f>ROUND('GHG and Energy Use Dec'!K54,-3)</f>
        <v>16000</v>
      </c>
      <c r="L54" s="751">
        <f>ROUND('GHG and Energy Use Dec'!L54,-3)</f>
        <v>594000</v>
      </c>
      <c r="M54" s="751">
        <f>ROUND('GHG and Energy Use Dec'!M54,-3)</f>
        <v>611000</v>
      </c>
      <c r="N54" s="755">
        <f t="shared" si="2"/>
        <v>0</v>
      </c>
      <c r="O54" s="756">
        <f t="shared" si="71"/>
        <v>2.3409961685823757</v>
      </c>
      <c r="P54" s="757">
        <f t="shared" si="3"/>
        <v>0.13390313390313391</v>
      </c>
      <c r="Q54" s="676">
        <f>ROUND('GHG and Energy Use Dec'!Q54,-3)</f>
        <v>261000</v>
      </c>
      <c r="R54" s="676">
        <f>ROUND('GHG and Energy Use Dec'!R54,-3)</f>
        <v>0</v>
      </c>
      <c r="S54" s="676">
        <f>ROUND('GHG and Energy Use Dec'!S54,-3)</f>
        <v>4563000</v>
      </c>
    </row>
    <row r="55" spans="1:71" ht="14.25" customHeight="1" x14ac:dyDescent="0.35">
      <c r="A55" s="784" t="s">
        <v>538</v>
      </c>
      <c r="B55" s="751">
        <f>ROUND('GHG and Energy Use Dec'!B55,-3)</f>
        <v>89000</v>
      </c>
      <c r="C55" s="751">
        <f>ROUND('GHG and Energy Use Dec'!C55,-3)</f>
        <v>89000</v>
      </c>
      <c r="D55" s="751">
        <f>ROUND('GHG and Energy Use Dec'!D55,-3)</f>
        <v>55000</v>
      </c>
      <c r="E55" s="752">
        <f t="shared" si="69"/>
        <v>144000</v>
      </c>
      <c r="F55" s="752">
        <f t="shared" si="70"/>
        <v>0</v>
      </c>
      <c r="G55" s="753">
        <f t="shared" si="58"/>
        <v>0.83236994219653182</v>
      </c>
      <c r="H55" s="754">
        <f t="shared" si="59"/>
        <v>8.840864440078585E-3</v>
      </c>
      <c r="I55" s="751">
        <f>ROUND('GHG and Energy Use Dec'!I55,-3)</f>
        <v>0</v>
      </c>
      <c r="J55" s="751">
        <f>ROUND('GHG and Energy Use Dec'!J55,-3)</f>
        <v>0</v>
      </c>
      <c r="K55" s="751">
        <f>ROUND('GHG and Energy Use Dec'!K55,-3)</f>
        <v>1235000</v>
      </c>
      <c r="L55" s="751">
        <f>ROUND('GHG and Energy Use Dec'!L55,-3)</f>
        <v>1314000</v>
      </c>
      <c r="M55" s="751">
        <f>ROUND('GHG and Energy Use Dec'!M55,-3)</f>
        <v>2549000</v>
      </c>
      <c r="N55" s="755">
        <f t="shared" si="2"/>
        <v>0</v>
      </c>
      <c r="O55" s="756">
        <f t="shared" si="71"/>
        <v>14.734104046242775</v>
      </c>
      <c r="P55" s="757">
        <f t="shared" si="3"/>
        <v>0.15649557956777996</v>
      </c>
      <c r="Q55" s="676">
        <f>ROUND('GHG and Energy Use Dec'!Q55,-3)</f>
        <v>173000</v>
      </c>
      <c r="R55" s="676">
        <f>ROUND('GHG and Energy Use Dec'!R55,-3)</f>
        <v>37888000</v>
      </c>
      <c r="S55" s="676">
        <f>ROUND('GHG and Energy Use Dec'!S55,-3)</f>
        <v>16288000</v>
      </c>
    </row>
    <row r="56" spans="1:71" hidden="1" x14ac:dyDescent="0.35">
      <c r="A56" s="784" t="s">
        <v>570</v>
      </c>
      <c r="B56" s="751">
        <f>ROUND('GHG and Energy Use Dec'!B56,-3)</f>
        <v>0</v>
      </c>
      <c r="C56" s="751">
        <f>ROUND('GHG and Energy Use Dec'!C56,-3)</f>
        <v>0</v>
      </c>
      <c r="D56" s="751">
        <f>ROUND('GHG and Energy Use Dec'!D56,-3)</f>
        <v>0</v>
      </c>
      <c r="E56" s="752">
        <f t="shared" si="69"/>
        <v>0</v>
      </c>
      <c r="F56" s="752">
        <f t="shared" si="70"/>
        <v>0</v>
      </c>
      <c r="G56" s="753" t="e">
        <f t="shared" si="58"/>
        <v>#DIV/0!</v>
      </c>
      <c r="H56" s="754" t="e">
        <f t="shared" si="59"/>
        <v>#DIV/0!</v>
      </c>
      <c r="I56" s="751">
        <f>ROUND('GHG and Energy Use Dec'!I56,-3)</f>
        <v>0</v>
      </c>
      <c r="J56" s="751">
        <f>ROUND('GHG and Energy Use Dec'!J56,-3)</f>
        <v>0</v>
      </c>
      <c r="K56" s="751">
        <f>ROUND('GHG and Energy Use Dec'!K56,-3)</f>
        <v>0</v>
      </c>
      <c r="L56" s="751">
        <f>ROUND('GHG and Energy Use Dec'!L56,-3)</f>
        <v>0</v>
      </c>
      <c r="M56" s="751">
        <f>ROUND('GHG and Energy Use Dec'!M56,-3)</f>
        <v>0</v>
      </c>
      <c r="N56" s="755" t="e">
        <f t="shared" si="2"/>
        <v>#DIV/0!</v>
      </c>
      <c r="O56" s="756" t="e">
        <f t="shared" si="71"/>
        <v>#DIV/0!</v>
      </c>
      <c r="P56" s="757" t="e">
        <f t="shared" si="3"/>
        <v>#DIV/0!</v>
      </c>
      <c r="Q56" s="676">
        <f>ROUND('GHG and Energy Use Dec'!Q56,-3)</f>
        <v>0</v>
      </c>
      <c r="R56" s="676">
        <f>ROUND('GHG and Energy Use Dec'!R56,-3)</f>
        <v>0</v>
      </c>
      <c r="S56" s="676">
        <f>ROUND('GHG and Energy Use Dec'!S56,-3)</f>
        <v>0</v>
      </c>
    </row>
    <row r="57" spans="1:71" x14ac:dyDescent="0.35">
      <c r="A57" s="784" t="s">
        <v>540</v>
      </c>
      <c r="B57" s="751">
        <f>ROUND('GHG and Energy Use Dec'!B57,-3)</f>
        <v>89000</v>
      </c>
      <c r="C57" s="751">
        <f>ROUND('GHG and Energy Use Dec'!C57,-3)</f>
        <v>135000</v>
      </c>
      <c r="D57" s="751">
        <f>ROUND('GHG and Energy Use Dec'!D57,-3)</f>
        <v>85000</v>
      </c>
      <c r="E57" s="752">
        <f t="shared" si="69"/>
        <v>174000</v>
      </c>
      <c r="F57" s="752">
        <f t="shared" si="70"/>
        <v>0</v>
      </c>
      <c r="G57" s="753">
        <f t="shared" si="58"/>
        <v>0.32044198895027626</v>
      </c>
      <c r="H57" s="757" t="s">
        <v>505</v>
      </c>
      <c r="I57" s="751">
        <f>ROUND('GHG and Energy Use Dec'!I57,-3)</f>
        <v>0</v>
      </c>
      <c r="J57" s="751">
        <f>ROUND('GHG and Energy Use Dec'!J57,-3)</f>
        <v>15000</v>
      </c>
      <c r="K57" s="751">
        <f>ROUND('GHG and Energy Use Dec'!K57,-3)</f>
        <v>1898000</v>
      </c>
      <c r="L57" s="751">
        <f>ROUND('GHG and Energy Use Dec'!L57,-3)</f>
        <v>1370000</v>
      </c>
      <c r="M57" s="751">
        <f>ROUND('GHG and Energy Use Dec'!M57,-3)</f>
        <v>3284000</v>
      </c>
      <c r="N57" s="755">
        <f t="shared" si="2"/>
        <v>4.5676004872107186E-3</v>
      </c>
      <c r="O57" s="756">
        <f t="shared" si="71"/>
        <v>6.0478821362799264</v>
      </c>
      <c r="P57" s="757" t="s">
        <v>505</v>
      </c>
      <c r="Q57" s="676">
        <f>ROUND('GHG and Energy Use Dec'!Q57,-3)</f>
        <v>543000</v>
      </c>
      <c r="R57" s="676">
        <f>ROUND('GHG and Energy Use Dec'!R57,-3)</f>
        <v>0</v>
      </c>
      <c r="S57" s="676">
        <f>ROUND('GHG and Energy Use Dec'!S57,-3)</f>
        <v>6168000</v>
      </c>
    </row>
    <row r="58" spans="1:71" x14ac:dyDescent="0.35">
      <c r="A58" s="784" t="s">
        <v>541</v>
      </c>
      <c r="B58" s="751">
        <f>ROUND('GHG and Energy Use Dec'!B58,-3)</f>
        <v>156000</v>
      </c>
      <c r="C58" s="751">
        <f>ROUND('GHG and Energy Use Dec'!C58,-3)</f>
        <v>0</v>
      </c>
      <c r="D58" s="751">
        <f>ROUND('GHG and Energy Use Dec'!D58,-3)</f>
        <v>0</v>
      </c>
      <c r="E58" s="752">
        <f t="shared" si="69"/>
        <v>156000</v>
      </c>
      <c r="F58" s="752">
        <f t="shared" si="70"/>
        <v>0</v>
      </c>
      <c r="G58" s="757" t="s">
        <v>505</v>
      </c>
      <c r="H58" s="757" t="s">
        <v>505</v>
      </c>
      <c r="I58" s="751">
        <f>ROUND('GHG and Energy Use Dec'!I58,-3)</f>
        <v>8000</v>
      </c>
      <c r="J58" s="751">
        <f>ROUND('GHG and Energy Use Dec'!J58,-3)</f>
        <v>0</v>
      </c>
      <c r="K58" s="751">
        <f>ROUND('GHG and Energy Use Dec'!K58,-3)</f>
        <v>0</v>
      </c>
      <c r="L58" s="751">
        <f>ROUND('GHG and Energy Use Dec'!L58,-3)</f>
        <v>3097000</v>
      </c>
      <c r="M58" s="751">
        <f>ROUND('GHG and Energy Use Dec'!M58,-3)</f>
        <v>3105000</v>
      </c>
      <c r="N58" s="755">
        <f t="shared" si="2"/>
        <v>2.5764895330112722E-3</v>
      </c>
      <c r="O58" s="757" t="s">
        <v>505</v>
      </c>
      <c r="P58" s="757" t="s">
        <v>505</v>
      </c>
      <c r="Q58" s="676">
        <f>ROUND('GHG and Energy Use Dec'!Q58,-3)</f>
        <v>0</v>
      </c>
      <c r="R58" s="676">
        <f>ROUND('GHG and Energy Use Dec'!R58,-3)</f>
        <v>0</v>
      </c>
      <c r="S58" s="676">
        <f>ROUND('GHG and Energy Use Dec'!S58,-3)</f>
        <v>0</v>
      </c>
    </row>
    <row r="59" spans="1:71" ht="15" thickBot="1" x14ac:dyDescent="0.4">
      <c r="A59" s="785" t="s">
        <v>542</v>
      </c>
      <c r="B59" s="751">
        <f>ROUND('GHG and Energy Use Dec'!B59,-3)</f>
        <v>1127000</v>
      </c>
      <c r="C59" s="751">
        <f>ROUND('GHG and Energy Use Dec'!C59,-3)</f>
        <v>12000</v>
      </c>
      <c r="D59" s="751">
        <f>ROUND('GHG and Energy Use Dec'!D59,-3)</f>
        <v>12000</v>
      </c>
      <c r="E59" s="786">
        <f t="shared" si="69"/>
        <v>1139000</v>
      </c>
      <c r="F59" s="786">
        <f t="shared" si="70"/>
        <v>0</v>
      </c>
      <c r="G59" s="757" t="s">
        <v>505</v>
      </c>
      <c r="H59" s="757" t="s">
        <v>505</v>
      </c>
      <c r="I59" s="751">
        <f>ROUND('GHG and Energy Use Dec'!I59,-3)</f>
        <v>0</v>
      </c>
      <c r="J59" s="751">
        <f>ROUND('GHG and Energy Use Dec'!J59,-3)</f>
        <v>0</v>
      </c>
      <c r="K59" s="751">
        <f>ROUND('GHG and Energy Use Dec'!K59,-3)</f>
        <v>127000</v>
      </c>
      <c r="L59" s="751">
        <f>ROUND('GHG and Energy Use Dec'!L59,-3)</f>
        <v>13306000</v>
      </c>
      <c r="M59" s="751">
        <f>ROUND('GHG and Energy Use Dec'!M59,-3)</f>
        <v>13433000</v>
      </c>
      <c r="N59" s="787">
        <f t="shared" si="2"/>
        <v>0</v>
      </c>
      <c r="O59" s="757" t="s">
        <v>505</v>
      </c>
      <c r="P59" s="757" t="s">
        <v>505</v>
      </c>
      <c r="Q59" s="676">
        <f>ROUND('GHG and Energy Use Dec'!Q59,-3)</f>
        <v>0</v>
      </c>
      <c r="R59" s="676">
        <f>ROUND('GHG and Energy Use Dec'!R59,-3)</f>
        <v>0</v>
      </c>
      <c r="S59" s="676">
        <f>ROUND('GHG and Energy Use Dec'!S59,-3)</f>
        <v>0</v>
      </c>
    </row>
    <row r="60" spans="1:71" x14ac:dyDescent="0.35">
      <c r="A60" s="788"/>
      <c r="B60" s="788"/>
      <c r="C60" s="788"/>
      <c r="D60" s="788"/>
      <c r="E60" s="788"/>
      <c r="F60" s="788"/>
      <c r="G60" s="789"/>
      <c r="H60" s="789"/>
      <c r="I60" s="788"/>
      <c r="J60" s="788"/>
      <c r="K60" s="788"/>
      <c r="L60" s="788"/>
      <c r="M60" s="788"/>
      <c r="N60" s="788"/>
      <c r="O60" s="788"/>
      <c r="P60" s="788"/>
      <c r="Q60" s="790"/>
      <c r="R60" s="790"/>
      <c r="S60" s="790"/>
    </row>
    <row r="61" spans="1:71" s="582" customFormat="1" hidden="1" x14ac:dyDescent="0.35">
      <c r="A61" s="791" t="s">
        <v>349</v>
      </c>
      <c r="B61" s="792">
        <f>B62+B65+B67+B69+B71+B75</f>
        <v>982580.63876084471</v>
      </c>
      <c r="C61" s="792">
        <f t="shared" ref="C61:M61" si="72">C62+C65+C67+C69+C71+C75</f>
        <v>158849.65498255999</v>
      </c>
      <c r="D61" s="792">
        <f t="shared" si="72"/>
        <v>158849.65498255999</v>
      </c>
      <c r="E61" s="792">
        <f t="shared" si="72"/>
        <v>1141430.2937434048</v>
      </c>
      <c r="F61" s="792">
        <f t="shared" si="72"/>
        <v>0</v>
      </c>
      <c r="G61" s="793"/>
      <c r="H61" s="793"/>
      <c r="I61" s="792">
        <f t="shared" si="72"/>
        <v>739204.0344</v>
      </c>
      <c r="J61" s="792">
        <f t="shared" si="72"/>
        <v>0</v>
      </c>
      <c r="K61" s="792">
        <f t="shared" si="72"/>
        <v>2396535.2716464</v>
      </c>
      <c r="L61" s="792">
        <f t="shared" si="72"/>
        <v>15045259.36434382</v>
      </c>
      <c r="M61" s="792">
        <f t="shared" si="72"/>
        <v>18180998.670390218</v>
      </c>
      <c r="N61" s="794"/>
      <c r="O61" s="794"/>
      <c r="P61" s="794"/>
      <c r="Q61" s="738">
        <v>2009000</v>
      </c>
      <c r="R61" s="738">
        <v>370000000</v>
      </c>
      <c r="S61" s="738">
        <v>51632000</v>
      </c>
    </row>
    <row r="62" spans="1:71" s="749" customFormat="1" hidden="1" x14ac:dyDescent="0.35">
      <c r="A62" s="795" t="s">
        <v>351</v>
      </c>
      <c r="B62" s="796">
        <f>SUM(B63:B64)</f>
        <v>458949.19651582965</v>
      </c>
      <c r="C62" s="796">
        <f t="shared" ref="C62:M62" si="73">SUM(C63:C64)</f>
        <v>0</v>
      </c>
      <c r="D62" s="796">
        <f t="shared" si="73"/>
        <v>0</v>
      </c>
      <c r="E62" s="796">
        <f t="shared" si="73"/>
        <v>458949.19651582965</v>
      </c>
      <c r="F62" s="796">
        <f t="shared" si="73"/>
        <v>0</v>
      </c>
      <c r="G62" s="797"/>
      <c r="H62" s="797"/>
      <c r="I62" s="796">
        <f t="shared" si="73"/>
        <v>0</v>
      </c>
      <c r="J62" s="796">
        <f t="shared" si="73"/>
        <v>0</v>
      </c>
      <c r="K62" s="796">
        <f t="shared" si="73"/>
        <v>0</v>
      </c>
      <c r="L62" s="796">
        <f t="shared" si="73"/>
        <v>6498549.1941151991</v>
      </c>
      <c r="M62" s="796">
        <f t="shared" si="73"/>
        <v>6498549.1941151991</v>
      </c>
      <c r="N62" s="798"/>
      <c r="O62" s="798"/>
      <c r="P62" s="798"/>
      <c r="Q62" s="669">
        <v>783000</v>
      </c>
      <c r="R62" s="669">
        <v>0</v>
      </c>
      <c r="S62" s="669">
        <v>10262000</v>
      </c>
      <c r="T62" s="748"/>
      <c r="U62" s="748"/>
      <c r="V62" s="748"/>
      <c r="W62" s="748"/>
      <c r="X62" s="748"/>
      <c r="Y62" s="748"/>
      <c r="Z62" s="748"/>
      <c r="AA62" s="748"/>
      <c r="AB62" s="748"/>
      <c r="AC62" s="748"/>
      <c r="AD62" s="748"/>
      <c r="AE62" s="748"/>
      <c r="AF62" s="748"/>
      <c r="AG62" s="748"/>
      <c r="AH62" s="748"/>
      <c r="AI62" s="748"/>
      <c r="AJ62" s="748"/>
      <c r="AK62" s="748"/>
      <c r="AL62" s="748"/>
      <c r="AM62" s="748"/>
      <c r="AN62" s="748"/>
      <c r="AO62" s="748"/>
      <c r="AP62" s="748"/>
      <c r="AQ62" s="748"/>
      <c r="AR62" s="748"/>
      <c r="AS62" s="748"/>
      <c r="AT62" s="748"/>
      <c r="AU62" s="748"/>
      <c r="AV62" s="748"/>
      <c r="AW62" s="748"/>
      <c r="AX62" s="748"/>
      <c r="AY62" s="748"/>
      <c r="AZ62" s="748"/>
      <c r="BA62" s="748"/>
      <c r="BB62" s="748"/>
      <c r="BC62" s="748"/>
      <c r="BD62" s="748"/>
      <c r="BE62" s="748"/>
      <c r="BF62" s="748"/>
      <c r="BG62" s="748"/>
      <c r="BH62" s="748"/>
      <c r="BI62" s="748"/>
      <c r="BJ62" s="748"/>
      <c r="BK62" s="748"/>
      <c r="BL62" s="748"/>
      <c r="BM62" s="748"/>
      <c r="BN62" s="748"/>
      <c r="BO62" s="748"/>
      <c r="BP62" s="748"/>
      <c r="BQ62" s="748"/>
      <c r="BR62" s="748"/>
      <c r="BS62" s="748"/>
    </row>
    <row r="63" spans="1:71" hidden="1" x14ac:dyDescent="0.35">
      <c r="A63" s="799" t="s">
        <v>352</v>
      </c>
      <c r="B63" s="800">
        <v>382201.44984993892</v>
      </c>
      <c r="C63" s="800">
        <v>0</v>
      </c>
      <c r="D63" s="800">
        <v>0</v>
      </c>
      <c r="E63" s="800">
        <v>382201.44984993892</v>
      </c>
      <c r="F63" s="800">
        <v>0</v>
      </c>
      <c r="G63" s="801"/>
      <c r="H63" s="801"/>
      <c r="I63" s="800">
        <v>0</v>
      </c>
      <c r="J63" s="800">
        <v>0</v>
      </c>
      <c r="K63" s="800">
        <v>0</v>
      </c>
      <c r="L63" s="800">
        <v>5392938.0389751988</v>
      </c>
      <c r="M63" s="800">
        <v>5392938.0389751988</v>
      </c>
      <c r="N63" s="802"/>
      <c r="O63" s="802"/>
      <c r="P63" s="802"/>
      <c r="Q63" s="685">
        <v>715000</v>
      </c>
      <c r="R63" s="685">
        <v>0</v>
      </c>
      <c r="S63" s="685">
        <v>4931000</v>
      </c>
    </row>
    <row r="64" spans="1:71" hidden="1" x14ac:dyDescent="0.35">
      <c r="A64" s="799" t="s">
        <v>353</v>
      </c>
      <c r="B64" s="800">
        <v>76747.746665890751</v>
      </c>
      <c r="C64" s="800">
        <v>0</v>
      </c>
      <c r="D64" s="800">
        <v>0</v>
      </c>
      <c r="E64" s="800">
        <v>76747.746665890751</v>
      </c>
      <c r="F64" s="800">
        <v>0</v>
      </c>
      <c r="G64" s="801"/>
      <c r="H64" s="801"/>
      <c r="I64" s="800">
        <v>0</v>
      </c>
      <c r="J64" s="800">
        <v>0</v>
      </c>
      <c r="K64" s="800">
        <v>0</v>
      </c>
      <c r="L64" s="800">
        <v>1105611.1551400002</v>
      </c>
      <c r="M64" s="800">
        <v>1105611.1551400002</v>
      </c>
      <c r="N64" s="802"/>
      <c r="O64" s="802"/>
      <c r="P64" s="802"/>
      <c r="Q64" s="685">
        <v>68000</v>
      </c>
      <c r="R64" s="685">
        <v>0</v>
      </c>
      <c r="S64" s="685">
        <v>5331000</v>
      </c>
    </row>
    <row r="65" spans="1:71" s="749" customFormat="1" hidden="1" x14ac:dyDescent="0.35">
      <c r="A65" s="795" t="s">
        <v>354</v>
      </c>
      <c r="B65" s="796">
        <f>B66</f>
        <v>93233.144034026234</v>
      </c>
      <c r="C65" s="796">
        <f t="shared" ref="C65:M65" si="74">C66</f>
        <v>86217.896159999989</v>
      </c>
      <c r="D65" s="796">
        <f t="shared" si="74"/>
        <v>86217.896159999989</v>
      </c>
      <c r="E65" s="796">
        <f t="shared" si="74"/>
        <v>179451.04019402622</v>
      </c>
      <c r="F65" s="796">
        <f t="shared" si="74"/>
        <v>0</v>
      </c>
      <c r="G65" s="797"/>
      <c r="H65" s="797"/>
      <c r="I65" s="796">
        <f t="shared" si="74"/>
        <v>0</v>
      </c>
      <c r="J65" s="796">
        <f t="shared" si="74"/>
        <v>0</v>
      </c>
      <c r="K65" s="796">
        <f t="shared" si="74"/>
        <v>711564.48</v>
      </c>
      <c r="L65" s="796">
        <f t="shared" si="74"/>
        <v>1326100.0755079999</v>
      </c>
      <c r="M65" s="796">
        <f t="shared" si="74"/>
        <v>2037664.5555079998</v>
      </c>
      <c r="N65" s="798"/>
      <c r="O65" s="798"/>
      <c r="P65" s="798"/>
      <c r="Q65" s="669">
        <v>273000</v>
      </c>
      <c r="R65" s="669">
        <v>0</v>
      </c>
      <c r="S65" s="669">
        <v>4198000</v>
      </c>
      <c r="T65" s="748"/>
      <c r="U65" s="748"/>
      <c r="V65" s="748"/>
      <c r="W65" s="748"/>
      <c r="X65" s="748"/>
      <c r="Y65" s="748"/>
      <c r="Z65" s="748"/>
      <c r="AA65" s="748"/>
      <c r="AB65" s="748"/>
      <c r="AC65" s="748"/>
      <c r="AD65" s="748"/>
      <c r="AE65" s="748"/>
      <c r="AF65" s="748"/>
      <c r="AG65" s="748"/>
      <c r="AH65" s="748"/>
      <c r="AI65" s="748"/>
      <c r="AJ65" s="748"/>
      <c r="AK65" s="748"/>
      <c r="AL65" s="748"/>
      <c r="AM65" s="748"/>
      <c r="AN65" s="748"/>
      <c r="AO65" s="748"/>
      <c r="AP65" s="748"/>
      <c r="AQ65" s="748"/>
      <c r="AR65" s="748"/>
      <c r="AS65" s="748"/>
      <c r="AT65" s="748"/>
      <c r="AU65" s="748"/>
      <c r="AV65" s="748"/>
      <c r="AW65" s="748"/>
      <c r="AX65" s="748"/>
      <c r="AY65" s="748"/>
      <c r="AZ65" s="748"/>
      <c r="BA65" s="748"/>
      <c r="BB65" s="748"/>
      <c r="BC65" s="748"/>
      <c r="BD65" s="748"/>
      <c r="BE65" s="748"/>
      <c r="BF65" s="748"/>
      <c r="BG65" s="748"/>
      <c r="BH65" s="748"/>
      <c r="BI65" s="748"/>
      <c r="BJ65" s="748"/>
      <c r="BK65" s="748"/>
      <c r="BL65" s="748"/>
      <c r="BM65" s="748"/>
      <c r="BN65" s="748"/>
      <c r="BO65" s="748"/>
      <c r="BP65" s="748"/>
      <c r="BQ65" s="748"/>
      <c r="BR65" s="748"/>
      <c r="BS65" s="748"/>
    </row>
    <row r="66" spans="1:71" hidden="1" x14ac:dyDescent="0.35">
      <c r="A66" s="799" t="s">
        <v>355</v>
      </c>
      <c r="B66" s="800">
        <v>93233.144034026234</v>
      </c>
      <c r="C66" s="800">
        <v>86217.896159999989</v>
      </c>
      <c r="D66" s="800">
        <v>86217.896159999989</v>
      </c>
      <c r="E66" s="800">
        <v>179451.04019402622</v>
      </c>
      <c r="F66" s="800">
        <v>0</v>
      </c>
      <c r="G66" s="801"/>
      <c r="H66" s="801"/>
      <c r="I66" s="800">
        <v>0</v>
      </c>
      <c r="J66" s="800">
        <v>0</v>
      </c>
      <c r="K66" s="800">
        <v>711564.48</v>
      </c>
      <c r="L66" s="800">
        <v>1326100.0755079999</v>
      </c>
      <c r="M66" s="800">
        <v>2037664.5555079998</v>
      </c>
      <c r="N66" s="802"/>
      <c r="O66" s="802"/>
      <c r="P66" s="802"/>
      <c r="Q66" s="685">
        <v>273000</v>
      </c>
      <c r="R66" s="685">
        <v>0</v>
      </c>
      <c r="S66" s="685">
        <v>4198000</v>
      </c>
    </row>
    <row r="67" spans="1:71" s="749" customFormat="1" hidden="1" x14ac:dyDescent="0.35">
      <c r="A67" s="795" t="s">
        <v>572</v>
      </c>
      <c r="B67" s="796">
        <f>B68</f>
        <v>139646.7740147415</v>
      </c>
      <c r="C67" s="796">
        <f t="shared" ref="C67:M67" si="75">C68</f>
        <v>0</v>
      </c>
      <c r="D67" s="796">
        <f t="shared" si="75"/>
        <v>0</v>
      </c>
      <c r="E67" s="796">
        <f t="shared" si="75"/>
        <v>139646.7740147415</v>
      </c>
      <c r="F67" s="796">
        <f t="shared" si="75"/>
        <v>0</v>
      </c>
      <c r="G67" s="797"/>
      <c r="H67" s="797"/>
      <c r="I67" s="796">
        <f t="shared" si="75"/>
        <v>739204.0344</v>
      </c>
      <c r="J67" s="796">
        <f t="shared" si="75"/>
        <v>0</v>
      </c>
      <c r="K67" s="796">
        <f t="shared" si="75"/>
        <v>0</v>
      </c>
      <c r="L67" s="796">
        <f t="shared" si="75"/>
        <v>3157040.5047090231</v>
      </c>
      <c r="M67" s="796">
        <f t="shared" si="75"/>
        <v>3896244.5391090233</v>
      </c>
      <c r="N67" s="798"/>
      <c r="O67" s="798"/>
      <c r="P67" s="798"/>
      <c r="Q67" s="669">
        <v>813000</v>
      </c>
      <c r="R67" s="669">
        <v>0</v>
      </c>
      <c r="S67" s="669">
        <v>7513000</v>
      </c>
      <c r="T67" s="748"/>
      <c r="U67" s="748"/>
      <c r="V67" s="748"/>
      <c r="W67" s="748"/>
      <c r="X67" s="748"/>
      <c r="Y67" s="748"/>
      <c r="Z67" s="748"/>
      <c r="AA67" s="748"/>
      <c r="AB67" s="748"/>
      <c r="AC67" s="748"/>
      <c r="AD67" s="748"/>
      <c r="AE67" s="748"/>
      <c r="AF67" s="748"/>
      <c r="AG67" s="748"/>
      <c r="AH67" s="748"/>
      <c r="AI67" s="748"/>
      <c r="AJ67" s="748"/>
      <c r="AK67" s="748"/>
      <c r="AL67" s="748"/>
      <c r="AM67" s="748"/>
      <c r="AN67" s="748"/>
      <c r="AO67" s="748"/>
      <c r="AP67" s="748"/>
      <c r="AQ67" s="748"/>
      <c r="AR67" s="748"/>
      <c r="AS67" s="748"/>
      <c r="AT67" s="748"/>
      <c r="AU67" s="748"/>
      <c r="AV67" s="748"/>
      <c r="AW67" s="748"/>
      <c r="AX67" s="748"/>
      <c r="AY67" s="748"/>
      <c r="AZ67" s="748"/>
      <c r="BA67" s="748"/>
      <c r="BB67" s="748"/>
      <c r="BC67" s="748"/>
      <c r="BD67" s="748"/>
      <c r="BE67" s="748"/>
      <c r="BF67" s="748"/>
      <c r="BG67" s="748"/>
      <c r="BH67" s="748"/>
      <c r="BI67" s="748"/>
      <c r="BJ67" s="748"/>
      <c r="BK67" s="748"/>
      <c r="BL67" s="748"/>
      <c r="BM67" s="748"/>
      <c r="BN67" s="748"/>
      <c r="BO67" s="748"/>
      <c r="BP67" s="748"/>
      <c r="BQ67" s="748"/>
      <c r="BR67" s="748"/>
      <c r="BS67" s="748"/>
    </row>
    <row r="68" spans="1:71" hidden="1" x14ac:dyDescent="0.35">
      <c r="A68" s="799" t="s">
        <v>357</v>
      </c>
      <c r="B68" s="800">
        <v>139646.7740147415</v>
      </c>
      <c r="C68" s="800">
        <v>0</v>
      </c>
      <c r="D68" s="800">
        <v>0</v>
      </c>
      <c r="E68" s="800">
        <v>139646.7740147415</v>
      </c>
      <c r="F68" s="800">
        <v>0</v>
      </c>
      <c r="G68" s="801"/>
      <c r="H68" s="801"/>
      <c r="I68" s="800">
        <v>739204.0344</v>
      </c>
      <c r="J68" s="800">
        <v>0</v>
      </c>
      <c r="K68" s="800">
        <v>0</v>
      </c>
      <c r="L68" s="800">
        <v>3157040.5047090231</v>
      </c>
      <c r="M68" s="800">
        <v>3896244.5391090233</v>
      </c>
      <c r="N68" s="802"/>
      <c r="O68" s="802"/>
      <c r="P68" s="802"/>
      <c r="Q68" s="685">
        <v>813000</v>
      </c>
      <c r="R68" s="685">
        <v>0</v>
      </c>
      <c r="S68" s="685">
        <v>7513000</v>
      </c>
    </row>
    <row r="69" spans="1:71" s="749" customFormat="1" hidden="1" x14ac:dyDescent="0.35">
      <c r="A69" s="795" t="s">
        <v>358</v>
      </c>
      <c r="B69" s="796">
        <f>B70</f>
        <v>61824.492039095261</v>
      </c>
      <c r="C69" s="796">
        <f t="shared" ref="C69:M69" si="76">C70</f>
        <v>36668.182187999999</v>
      </c>
      <c r="D69" s="796">
        <f t="shared" si="76"/>
        <v>36668.182187999999</v>
      </c>
      <c r="E69" s="796">
        <f t="shared" si="76"/>
        <v>98492.674227095267</v>
      </c>
      <c r="F69" s="796">
        <f t="shared" si="76"/>
        <v>0</v>
      </c>
      <c r="G69" s="797"/>
      <c r="H69" s="797"/>
      <c r="I69" s="796">
        <f t="shared" si="76"/>
        <v>0</v>
      </c>
      <c r="J69" s="796">
        <f t="shared" si="76"/>
        <v>0</v>
      </c>
      <c r="K69" s="796">
        <f t="shared" si="76"/>
        <v>181825.69680000001</v>
      </c>
      <c r="L69" s="796">
        <f t="shared" si="76"/>
        <v>890628.44805999997</v>
      </c>
      <c r="M69" s="796">
        <f t="shared" si="76"/>
        <v>1072454.1448599999</v>
      </c>
      <c r="N69" s="798"/>
      <c r="O69" s="798"/>
      <c r="P69" s="798"/>
      <c r="Q69" s="669">
        <v>0</v>
      </c>
      <c r="R69" s="669">
        <v>132000000</v>
      </c>
      <c r="S69" s="669">
        <v>2284000</v>
      </c>
      <c r="T69" s="748"/>
      <c r="U69" s="748"/>
      <c r="V69" s="748"/>
      <c r="W69" s="748"/>
      <c r="X69" s="748"/>
      <c r="Y69" s="748"/>
      <c r="Z69" s="748"/>
      <c r="AA69" s="748"/>
      <c r="AB69" s="748"/>
      <c r="AC69" s="748"/>
      <c r="AD69" s="748"/>
      <c r="AE69" s="748"/>
      <c r="AF69" s="748"/>
      <c r="AG69" s="748"/>
      <c r="AH69" s="748"/>
      <c r="AI69" s="748"/>
      <c r="AJ69" s="748"/>
      <c r="AK69" s="748"/>
      <c r="AL69" s="748"/>
      <c r="AM69" s="748"/>
      <c r="AN69" s="748"/>
      <c r="AO69" s="748"/>
      <c r="AP69" s="748"/>
      <c r="AQ69" s="748"/>
      <c r="AR69" s="748"/>
      <c r="AS69" s="748"/>
      <c r="AT69" s="748"/>
      <c r="AU69" s="748"/>
      <c r="AV69" s="748"/>
      <c r="AW69" s="748"/>
      <c r="AX69" s="748"/>
      <c r="AY69" s="748"/>
      <c r="AZ69" s="748"/>
      <c r="BA69" s="748"/>
      <c r="BB69" s="748"/>
      <c r="BC69" s="748"/>
      <c r="BD69" s="748"/>
      <c r="BE69" s="748"/>
      <c r="BF69" s="748"/>
      <c r="BG69" s="748"/>
      <c r="BH69" s="748"/>
      <c r="BI69" s="748"/>
      <c r="BJ69" s="748"/>
      <c r="BK69" s="748"/>
      <c r="BL69" s="748"/>
      <c r="BM69" s="748"/>
      <c r="BN69" s="748"/>
      <c r="BO69" s="748"/>
      <c r="BP69" s="748"/>
      <c r="BQ69" s="748"/>
      <c r="BR69" s="748"/>
      <c r="BS69" s="748"/>
    </row>
    <row r="70" spans="1:71" hidden="1" x14ac:dyDescent="0.35">
      <c r="A70" s="799" t="s">
        <v>359</v>
      </c>
      <c r="B70" s="800">
        <v>61824.492039095261</v>
      </c>
      <c r="C70" s="800">
        <v>36668.182187999999</v>
      </c>
      <c r="D70" s="800">
        <v>36668.182187999999</v>
      </c>
      <c r="E70" s="800">
        <v>98492.674227095267</v>
      </c>
      <c r="F70" s="800">
        <v>0</v>
      </c>
      <c r="G70" s="801"/>
      <c r="H70" s="801"/>
      <c r="I70" s="800">
        <v>0</v>
      </c>
      <c r="J70" s="800">
        <v>0</v>
      </c>
      <c r="K70" s="800">
        <v>181825.69680000001</v>
      </c>
      <c r="L70" s="800">
        <v>890628.44805999997</v>
      </c>
      <c r="M70" s="800">
        <v>1072454.1448599999</v>
      </c>
      <c r="N70" s="802"/>
      <c r="O70" s="802"/>
      <c r="P70" s="802"/>
      <c r="Q70" s="685">
        <v>0</v>
      </c>
      <c r="R70" s="685">
        <v>132000000</v>
      </c>
      <c r="S70" s="685">
        <v>2284000</v>
      </c>
    </row>
    <row r="71" spans="1:71" s="749" customFormat="1" hidden="1" x14ac:dyDescent="0.35">
      <c r="A71" s="795" t="s">
        <v>360</v>
      </c>
      <c r="B71" s="796">
        <f>SUM(B72:B74)</f>
        <v>30303.576403104445</v>
      </c>
      <c r="C71" s="796">
        <f t="shared" ref="C71:M71" si="77">SUM(C72:C74)</f>
        <v>28558.237014560003</v>
      </c>
      <c r="D71" s="796">
        <f t="shared" si="77"/>
        <v>28558.237014560003</v>
      </c>
      <c r="E71" s="796">
        <f t="shared" si="77"/>
        <v>58861.813417664438</v>
      </c>
      <c r="F71" s="796">
        <f t="shared" si="77"/>
        <v>0</v>
      </c>
      <c r="G71" s="797"/>
      <c r="H71" s="797"/>
      <c r="I71" s="796">
        <f t="shared" si="77"/>
        <v>0</v>
      </c>
      <c r="J71" s="796">
        <f t="shared" si="77"/>
        <v>0</v>
      </c>
      <c r="K71" s="796">
        <f t="shared" si="77"/>
        <v>233658.30284640001</v>
      </c>
      <c r="L71" s="796">
        <f t="shared" si="77"/>
        <v>436602.73570399999</v>
      </c>
      <c r="M71" s="796">
        <f t="shared" si="77"/>
        <v>670261.03855039994</v>
      </c>
      <c r="N71" s="798"/>
      <c r="O71" s="798"/>
      <c r="P71" s="798"/>
      <c r="Q71" s="669">
        <v>140000</v>
      </c>
      <c r="R71" s="669">
        <v>0</v>
      </c>
      <c r="S71" s="669">
        <v>2439000</v>
      </c>
      <c r="T71" s="748"/>
      <c r="U71" s="748"/>
      <c r="V71" s="748"/>
      <c r="W71" s="748"/>
      <c r="X71" s="748"/>
      <c r="Y71" s="748"/>
      <c r="Z71" s="748"/>
      <c r="AA71" s="748"/>
      <c r="AB71" s="748"/>
      <c r="AC71" s="748"/>
      <c r="AD71" s="748"/>
      <c r="AE71" s="748"/>
      <c r="AF71" s="748"/>
      <c r="AG71" s="748"/>
      <c r="AH71" s="748"/>
      <c r="AI71" s="748"/>
      <c r="AJ71" s="748"/>
      <c r="AK71" s="748"/>
      <c r="AL71" s="748"/>
      <c r="AM71" s="748"/>
      <c r="AN71" s="748"/>
      <c r="AO71" s="748"/>
      <c r="AP71" s="748"/>
      <c r="AQ71" s="748"/>
      <c r="AR71" s="748"/>
      <c r="AS71" s="748"/>
      <c r="AT71" s="748"/>
      <c r="AU71" s="748"/>
      <c r="AV71" s="748"/>
      <c r="AW71" s="748"/>
      <c r="AX71" s="748"/>
      <c r="AY71" s="748"/>
      <c r="AZ71" s="748"/>
      <c r="BA71" s="748"/>
      <c r="BB71" s="748"/>
      <c r="BC71" s="748"/>
      <c r="BD71" s="748"/>
      <c r="BE71" s="748"/>
      <c r="BF71" s="748"/>
      <c r="BG71" s="748"/>
      <c r="BH71" s="748"/>
      <c r="BI71" s="748"/>
      <c r="BJ71" s="748"/>
      <c r="BK71" s="748"/>
      <c r="BL71" s="748"/>
      <c r="BM71" s="748"/>
      <c r="BN71" s="748"/>
      <c r="BO71" s="748"/>
      <c r="BP71" s="748"/>
      <c r="BQ71" s="748"/>
      <c r="BR71" s="748"/>
      <c r="BS71" s="748"/>
    </row>
    <row r="72" spans="1:71" hidden="1" x14ac:dyDescent="0.35">
      <c r="A72" s="799" t="s">
        <v>361</v>
      </c>
      <c r="B72" s="800">
        <v>1385.8683955586525</v>
      </c>
      <c r="C72" s="800">
        <v>6387.8399200000003</v>
      </c>
      <c r="D72" s="800">
        <v>6387.8399200000003</v>
      </c>
      <c r="E72" s="800">
        <v>7773.7083155586533</v>
      </c>
      <c r="F72" s="800">
        <v>0</v>
      </c>
      <c r="G72" s="801"/>
      <c r="H72" s="801"/>
      <c r="I72" s="800">
        <v>0</v>
      </c>
      <c r="J72" s="800">
        <v>0</v>
      </c>
      <c r="K72" s="800">
        <v>52264.144800000002</v>
      </c>
      <c r="L72" s="800">
        <v>19967.389599999999</v>
      </c>
      <c r="M72" s="800">
        <v>72231.534400000004</v>
      </c>
      <c r="N72" s="802"/>
      <c r="O72" s="802"/>
      <c r="P72" s="802"/>
      <c r="Q72" s="803">
        <v>9000</v>
      </c>
      <c r="R72" s="685">
        <v>0</v>
      </c>
      <c r="S72" s="685">
        <v>518000</v>
      </c>
    </row>
    <row r="73" spans="1:71" hidden="1" x14ac:dyDescent="0.35">
      <c r="A73" s="799" t="s">
        <v>362</v>
      </c>
      <c r="B73" s="800">
        <v>1866.8507384089814</v>
      </c>
      <c r="C73" s="800">
        <v>14393.881094560002</v>
      </c>
      <c r="D73" s="800">
        <v>14393.881094560002</v>
      </c>
      <c r="E73" s="800">
        <v>16260.731832968982</v>
      </c>
      <c r="F73" s="800">
        <v>0</v>
      </c>
      <c r="G73" s="801"/>
      <c r="H73" s="801"/>
      <c r="I73" s="800">
        <v>0</v>
      </c>
      <c r="J73" s="800">
        <v>0</v>
      </c>
      <c r="K73" s="800">
        <v>117768.11804640001</v>
      </c>
      <c r="L73" s="800">
        <v>26897.329343999998</v>
      </c>
      <c r="M73" s="800">
        <v>144665.44739039999</v>
      </c>
      <c r="N73" s="802"/>
      <c r="O73" s="802"/>
      <c r="P73" s="802"/>
      <c r="Q73" s="803">
        <v>28000</v>
      </c>
      <c r="R73" s="685">
        <v>0</v>
      </c>
      <c r="S73" s="685">
        <v>1207000</v>
      </c>
    </row>
    <row r="74" spans="1:71" hidden="1" x14ac:dyDescent="0.35">
      <c r="A74" s="799" t="s">
        <v>363</v>
      </c>
      <c r="B74" s="800">
        <v>27050.85726913681</v>
      </c>
      <c r="C74" s="800">
        <v>7776.5159999999996</v>
      </c>
      <c r="D74" s="800">
        <v>7776.5159999999996</v>
      </c>
      <c r="E74" s="800">
        <v>34827.373269136806</v>
      </c>
      <c r="F74" s="800">
        <v>0</v>
      </c>
      <c r="G74" s="801"/>
      <c r="H74" s="801"/>
      <c r="I74" s="800">
        <v>0</v>
      </c>
      <c r="J74" s="800">
        <v>0</v>
      </c>
      <c r="K74" s="800">
        <v>63626.04</v>
      </c>
      <c r="L74" s="800">
        <v>389738.01676000003</v>
      </c>
      <c r="M74" s="800">
        <v>453364.05676000001</v>
      </c>
      <c r="N74" s="802"/>
      <c r="O74" s="802"/>
      <c r="P74" s="802"/>
      <c r="Q74" s="685">
        <v>103000</v>
      </c>
      <c r="R74" s="685">
        <v>0</v>
      </c>
      <c r="S74" s="685">
        <v>714000</v>
      </c>
    </row>
    <row r="75" spans="1:71" s="749" customFormat="1" hidden="1" x14ac:dyDescent="0.35">
      <c r="A75" s="795" t="s">
        <v>364</v>
      </c>
      <c r="B75" s="796">
        <f>B76</f>
        <v>198623.45575404764</v>
      </c>
      <c r="C75" s="796">
        <f t="shared" ref="C75:M75" si="78">C76</f>
        <v>7405.3396199999997</v>
      </c>
      <c r="D75" s="796">
        <f t="shared" si="78"/>
        <v>7405.3396199999997</v>
      </c>
      <c r="E75" s="796">
        <f t="shared" si="78"/>
        <v>206028.79537404765</v>
      </c>
      <c r="F75" s="796">
        <f t="shared" si="78"/>
        <v>0</v>
      </c>
      <c r="G75" s="797"/>
      <c r="H75" s="797"/>
      <c r="I75" s="796">
        <f t="shared" si="78"/>
        <v>0</v>
      </c>
      <c r="J75" s="796">
        <f t="shared" si="78"/>
        <v>0</v>
      </c>
      <c r="K75" s="796">
        <f t="shared" si="78"/>
        <v>1269486.7919999999</v>
      </c>
      <c r="L75" s="796">
        <f t="shared" si="78"/>
        <v>2736338.4062475995</v>
      </c>
      <c r="M75" s="796">
        <f t="shared" si="78"/>
        <v>4005825.1982475994</v>
      </c>
      <c r="N75" s="798"/>
      <c r="O75" s="798"/>
      <c r="P75" s="798"/>
      <c r="Q75" s="669">
        <v>0</v>
      </c>
      <c r="R75" s="669">
        <v>238000000</v>
      </c>
      <c r="S75" s="669">
        <v>24936000</v>
      </c>
      <c r="T75" s="748"/>
      <c r="U75" s="748"/>
      <c r="V75" s="748"/>
      <c r="W75" s="748"/>
      <c r="X75" s="748"/>
      <c r="Y75" s="748"/>
      <c r="Z75" s="748"/>
      <c r="AA75" s="748"/>
      <c r="AB75" s="748"/>
      <c r="AC75" s="748"/>
      <c r="AD75" s="748"/>
      <c r="AE75" s="748"/>
      <c r="AF75" s="748"/>
      <c r="AG75" s="748"/>
      <c r="AH75" s="748"/>
      <c r="AI75" s="748"/>
      <c r="AJ75" s="748"/>
      <c r="AK75" s="748"/>
      <c r="AL75" s="748"/>
      <c r="AM75" s="748"/>
      <c r="AN75" s="748"/>
      <c r="AO75" s="748"/>
      <c r="AP75" s="748"/>
      <c r="AQ75" s="748"/>
      <c r="AR75" s="748"/>
      <c r="AS75" s="748"/>
      <c r="AT75" s="748"/>
      <c r="AU75" s="748"/>
      <c r="AV75" s="748"/>
      <c r="AW75" s="748"/>
      <c r="AX75" s="748"/>
      <c r="AY75" s="748"/>
      <c r="AZ75" s="748"/>
      <c r="BA75" s="748"/>
      <c r="BB75" s="748"/>
      <c r="BC75" s="748"/>
      <c r="BD75" s="748"/>
      <c r="BE75" s="748"/>
      <c r="BF75" s="748"/>
      <c r="BG75" s="748"/>
      <c r="BH75" s="748"/>
      <c r="BI75" s="748"/>
      <c r="BJ75" s="748"/>
      <c r="BK75" s="748"/>
      <c r="BL75" s="748"/>
      <c r="BM75" s="748"/>
      <c r="BN75" s="748"/>
      <c r="BO75" s="748"/>
      <c r="BP75" s="748"/>
      <c r="BQ75" s="748"/>
      <c r="BR75" s="748"/>
      <c r="BS75" s="748"/>
    </row>
    <row r="76" spans="1:71" hidden="1" x14ac:dyDescent="0.35">
      <c r="A76" s="799" t="s">
        <v>365</v>
      </c>
      <c r="B76" s="800">
        <v>198623.45575404764</v>
      </c>
      <c r="C76" s="800">
        <v>7405.3396199999997</v>
      </c>
      <c r="D76" s="800">
        <v>7405.3396199999997</v>
      </c>
      <c r="E76" s="800">
        <v>206028.79537404765</v>
      </c>
      <c r="F76" s="800">
        <v>0</v>
      </c>
      <c r="G76" s="801"/>
      <c r="H76" s="801"/>
      <c r="I76" s="800">
        <v>0</v>
      </c>
      <c r="J76" s="800">
        <v>0</v>
      </c>
      <c r="K76" s="800">
        <v>1269486.7919999999</v>
      </c>
      <c r="L76" s="800">
        <v>2736338.4062475995</v>
      </c>
      <c r="M76" s="800">
        <v>4005825.1982475994</v>
      </c>
      <c r="N76" s="802"/>
      <c r="O76" s="802"/>
      <c r="P76" s="802"/>
      <c r="Q76" s="685">
        <v>0</v>
      </c>
      <c r="R76" s="685">
        <v>238000000</v>
      </c>
      <c r="S76" s="685">
        <v>24936000</v>
      </c>
    </row>
    <row r="77" spans="1:71" s="582" customFormat="1" hidden="1" x14ac:dyDescent="0.35">
      <c r="A77" s="791" t="s">
        <v>366</v>
      </c>
      <c r="B77" s="804">
        <f>B78+B84+B86+B89</f>
        <v>2945643.6300425031</v>
      </c>
      <c r="C77" s="804">
        <f t="shared" ref="C77:M77" si="79">C78+C84+C86+C89</f>
        <v>27584.861902694745</v>
      </c>
      <c r="D77" s="804">
        <f t="shared" si="79"/>
        <v>27584.861902694745</v>
      </c>
      <c r="E77" s="804">
        <f t="shared" si="79"/>
        <v>2973228.4919451978</v>
      </c>
      <c r="F77" s="804">
        <f t="shared" si="79"/>
        <v>0</v>
      </c>
      <c r="G77" s="793"/>
      <c r="H77" s="793"/>
      <c r="I77" s="804">
        <f t="shared" si="79"/>
        <v>9072.496799999999</v>
      </c>
      <c r="J77" s="804">
        <f t="shared" si="79"/>
        <v>7033.0961822368881</v>
      </c>
      <c r="K77" s="804">
        <f t="shared" si="79"/>
        <v>406989.76577746344</v>
      </c>
      <c r="L77" s="804">
        <f t="shared" si="79"/>
        <v>28826279.83834631</v>
      </c>
      <c r="M77" s="804">
        <f t="shared" si="79"/>
        <v>29249375.197106011</v>
      </c>
      <c r="N77" s="794"/>
      <c r="O77" s="794"/>
      <c r="P77" s="794"/>
      <c r="Q77" s="805">
        <v>2323000</v>
      </c>
      <c r="R77" s="805">
        <v>0</v>
      </c>
      <c r="S77" s="805">
        <v>46582000</v>
      </c>
    </row>
    <row r="78" spans="1:71" s="749" customFormat="1" hidden="1" x14ac:dyDescent="0.35">
      <c r="A78" s="795" t="s">
        <v>367</v>
      </c>
      <c r="B78" s="796">
        <f>SUM(B79:B80)</f>
        <v>262225.37885208474</v>
      </c>
      <c r="C78" s="796">
        <f t="shared" ref="C78:M78" si="80">SUM(C79:C80)</f>
        <v>0</v>
      </c>
      <c r="D78" s="796">
        <f t="shared" si="80"/>
        <v>0</v>
      </c>
      <c r="E78" s="796">
        <f t="shared" si="80"/>
        <v>262225.37885208474</v>
      </c>
      <c r="F78" s="796">
        <f t="shared" si="80"/>
        <v>0</v>
      </c>
      <c r="G78" s="797"/>
      <c r="H78" s="797"/>
      <c r="I78" s="796">
        <f t="shared" si="80"/>
        <v>9072.496799999999</v>
      </c>
      <c r="J78" s="796">
        <f t="shared" si="80"/>
        <v>0</v>
      </c>
      <c r="K78" s="796">
        <f t="shared" si="80"/>
        <v>0</v>
      </c>
      <c r="L78" s="796">
        <f t="shared" si="80"/>
        <v>3812964.0037799994</v>
      </c>
      <c r="M78" s="796">
        <f t="shared" si="80"/>
        <v>3822036.5005799993</v>
      </c>
      <c r="N78" s="798"/>
      <c r="O78" s="798"/>
      <c r="P78" s="798"/>
      <c r="Q78" s="669">
        <v>548000</v>
      </c>
      <c r="R78" s="669">
        <v>0</v>
      </c>
      <c r="S78" s="669">
        <v>27174000</v>
      </c>
      <c r="T78" s="748"/>
      <c r="U78" s="748"/>
      <c r="V78" s="748"/>
      <c r="W78" s="748"/>
      <c r="X78" s="748"/>
      <c r="Y78" s="748"/>
      <c r="Z78" s="748"/>
      <c r="AA78" s="748"/>
      <c r="AB78" s="748"/>
      <c r="AC78" s="748"/>
      <c r="AD78" s="748"/>
      <c r="AE78" s="748"/>
      <c r="AF78" s="748"/>
      <c r="AG78" s="748"/>
      <c r="AH78" s="748"/>
      <c r="AI78" s="748"/>
      <c r="AJ78" s="748"/>
      <c r="AK78" s="748"/>
      <c r="AL78" s="748"/>
      <c r="AM78" s="748"/>
      <c r="AN78" s="748"/>
      <c r="AO78" s="748"/>
      <c r="AP78" s="748"/>
      <c r="AQ78" s="748"/>
      <c r="AR78" s="748"/>
      <c r="AS78" s="748"/>
      <c r="AT78" s="748"/>
      <c r="AU78" s="748"/>
      <c r="AV78" s="748"/>
      <c r="AW78" s="748"/>
      <c r="AX78" s="748"/>
      <c r="AY78" s="748"/>
      <c r="AZ78" s="748"/>
      <c r="BA78" s="748"/>
      <c r="BB78" s="748"/>
      <c r="BC78" s="748"/>
      <c r="BD78" s="748"/>
      <c r="BE78" s="748"/>
      <c r="BF78" s="748"/>
      <c r="BG78" s="748"/>
      <c r="BH78" s="748"/>
      <c r="BI78" s="748"/>
      <c r="BJ78" s="748"/>
      <c r="BK78" s="748"/>
      <c r="BL78" s="748"/>
      <c r="BM78" s="748"/>
      <c r="BN78" s="748"/>
      <c r="BO78" s="748"/>
      <c r="BP78" s="748"/>
      <c r="BQ78" s="748"/>
      <c r="BR78" s="748"/>
      <c r="BS78" s="748"/>
    </row>
    <row r="79" spans="1:71" hidden="1" x14ac:dyDescent="0.35">
      <c r="A79" s="799" t="s">
        <v>368</v>
      </c>
      <c r="B79" s="800">
        <v>262225.37885208474</v>
      </c>
      <c r="C79" s="800">
        <v>0</v>
      </c>
      <c r="D79" s="800">
        <v>0</v>
      </c>
      <c r="E79" s="800">
        <v>262225.37885208474</v>
      </c>
      <c r="F79" s="800">
        <v>0</v>
      </c>
      <c r="G79" s="801"/>
      <c r="H79" s="801"/>
      <c r="I79" s="800">
        <v>9072.496799999999</v>
      </c>
      <c r="J79" s="800">
        <v>0</v>
      </c>
      <c r="K79" s="800">
        <v>0</v>
      </c>
      <c r="L79" s="800">
        <v>3812964.0037799994</v>
      </c>
      <c r="M79" s="800">
        <v>3822036.5005799993</v>
      </c>
      <c r="N79" s="802"/>
      <c r="O79" s="802"/>
      <c r="P79" s="802"/>
      <c r="Q79" s="685">
        <v>548000</v>
      </c>
      <c r="R79" s="685">
        <v>0</v>
      </c>
      <c r="S79" s="685">
        <v>27174000</v>
      </c>
    </row>
    <row r="80" spans="1:71" hidden="1" x14ac:dyDescent="0.35">
      <c r="A80" s="799" t="s">
        <v>369</v>
      </c>
      <c r="B80" s="800"/>
      <c r="C80" s="800"/>
      <c r="D80" s="800"/>
      <c r="E80" s="800"/>
      <c r="F80" s="800"/>
      <c r="G80" s="801"/>
      <c r="H80" s="801"/>
      <c r="I80" s="800"/>
      <c r="J80" s="800"/>
      <c r="K80" s="800"/>
      <c r="L80" s="800"/>
      <c r="M80" s="800"/>
      <c r="N80" s="802"/>
      <c r="O80" s="802"/>
      <c r="P80" s="802"/>
      <c r="Q80" s="685"/>
      <c r="R80" s="685"/>
      <c r="S80" s="685"/>
    </row>
    <row r="81" spans="1:71" s="749" customFormat="1" hidden="1" x14ac:dyDescent="0.35">
      <c r="A81" s="795" t="s">
        <v>371</v>
      </c>
      <c r="B81" s="796"/>
      <c r="C81" s="796"/>
      <c r="D81" s="796"/>
      <c r="E81" s="796"/>
      <c r="F81" s="796"/>
      <c r="G81" s="797"/>
      <c r="H81" s="797"/>
      <c r="I81" s="796"/>
      <c r="J81" s="796"/>
      <c r="K81" s="796"/>
      <c r="L81" s="796"/>
      <c r="M81" s="796"/>
      <c r="N81" s="798"/>
      <c r="O81" s="798"/>
      <c r="P81" s="798"/>
      <c r="Q81" s="669">
        <v>0</v>
      </c>
      <c r="R81" s="669">
        <v>0</v>
      </c>
      <c r="S81" s="669">
        <v>0</v>
      </c>
      <c r="T81" s="748"/>
      <c r="U81" s="748"/>
      <c r="V81" s="748"/>
      <c r="W81" s="748"/>
      <c r="X81" s="748"/>
      <c r="Y81" s="748"/>
      <c r="Z81" s="748"/>
      <c r="AA81" s="748"/>
      <c r="AB81" s="748"/>
      <c r="AC81" s="748"/>
      <c r="AD81" s="748"/>
      <c r="AE81" s="748"/>
      <c r="AF81" s="748"/>
      <c r="AG81" s="748"/>
      <c r="AH81" s="748"/>
      <c r="AI81" s="748"/>
      <c r="AJ81" s="748"/>
      <c r="AK81" s="748"/>
      <c r="AL81" s="748"/>
      <c r="AM81" s="748"/>
      <c r="AN81" s="748"/>
      <c r="AO81" s="748"/>
      <c r="AP81" s="748"/>
      <c r="AQ81" s="748"/>
      <c r="AR81" s="748"/>
      <c r="AS81" s="748"/>
      <c r="AT81" s="748"/>
      <c r="AU81" s="748"/>
      <c r="AV81" s="748"/>
      <c r="AW81" s="748"/>
      <c r="AX81" s="748"/>
      <c r="AY81" s="748"/>
      <c r="AZ81" s="748"/>
      <c r="BA81" s="748"/>
      <c r="BB81" s="748"/>
      <c r="BC81" s="748"/>
      <c r="BD81" s="748"/>
      <c r="BE81" s="748"/>
      <c r="BF81" s="748"/>
      <c r="BG81" s="748"/>
      <c r="BH81" s="748"/>
      <c r="BI81" s="748"/>
      <c r="BJ81" s="748"/>
      <c r="BK81" s="748"/>
      <c r="BL81" s="748"/>
      <c r="BM81" s="748"/>
      <c r="BN81" s="748"/>
      <c r="BO81" s="748"/>
      <c r="BP81" s="748"/>
      <c r="BQ81" s="748"/>
      <c r="BR81" s="748"/>
      <c r="BS81" s="748"/>
    </row>
    <row r="82" spans="1:71" hidden="1" x14ac:dyDescent="0.35">
      <c r="A82" s="799" t="s">
        <v>372</v>
      </c>
      <c r="B82" s="800"/>
      <c r="C82" s="800"/>
      <c r="D82" s="800"/>
      <c r="E82" s="800"/>
      <c r="F82" s="800"/>
      <c r="G82" s="801"/>
      <c r="H82" s="801"/>
      <c r="I82" s="800"/>
      <c r="J82" s="800"/>
      <c r="K82" s="800"/>
      <c r="L82" s="800"/>
      <c r="M82" s="800"/>
      <c r="N82" s="802"/>
      <c r="O82" s="802"/>
      <c r="P82" s="802"/>
      <c r="Q82" s="685">
        <v>0</v>
      </c>
      <c r="R82" s="685">
        <v>0</v>
      </c>
      <c r="S82" s="685">
        <v>0</v>
      </c>
    </row>
    <row r="83" spans="1:71" hidden="1" x14ac:dyDescent="0.35">
      <c r="A83" s="799" t="s">
        <v>373</v>
      </c>
      <c r="B83" s="800"/>
      <c r="C83" s="800"/>
      <c r="D83" s="800"/>
      <c r="E83" s="800"/>
      <c r="F83" s="800"/>
      <c r="G83" s="801"/>
      <c r="H83" s="801"/>
      <c r="I83" s="800"/>
      <c r="J83" s="800"/>
      <c r="K83" s="800"/>
      <c r="L83" s="800"/>
      <c r="M83" s="800"/>
      <c r="N83" s="802"/>
      <c r="O83" s="802"/>
      <c r="P83" s="802"/>
      <c r="Q83" s="685"/>
      <c r="R83" s="685"/>
      <c r="S83" s="685"/>
    </row>
    <row r="84" spans="1:71" s="749" customFormat="1" hidden="1" x14ac:dyDescent="0.35">
      <c r="A84" s="795" t="s">
        <v>374</v>
      </c>
      <c r="B84" s="796">
        <f>B85</f>
        <v>2165897.9866697136</v>
      </c>
      <c r="C84" s="796">
        <f t="shared" ref="C84:M84" si="81">C85</f>
        <v>0</v>
      </c>
      <c r="D84" s="796">
        <f t="shared" si="81"/>
        <v>0</v>
      </c>
      <c r="E84" s="796">
        <f t="shared" si="81"/>
        <v>2165897.9866697136</v>
      </c>
      <c r="F84" s="796">
        <f t="shared" si="81"/>
        <v>0</v>
      </c>
      <c r="G84" s="797"/>
      <c r="H84" s="797"/>
      <c r="I84" s="796">
        <f t="shared" si="81"/>
        <v>0</v>
      </c>
      <c r="J84" s="796">
        <f t="shared" si="81"/>
        <v>0</v>
      </c>
      <c r="K84" s="796">
        <f t="shared" si="81"/>
        <v>0</v>
      </c>
      <c r="L84" s="796">
        <f t="shared" si="81"/>
        <v>15891004.298889663</v>
      </c>
      <c r="M84" s="796">
        <f t="shared" si="81"/>
        <v>15891004.298889663</v>
      </c>
      <c r="N84" s="798"/>
      <c r="O84" s="798"/>
      <c r="P84" s="798"/>
      <c r="Q84" s="669">
        <v>983000</v>
      </c>
      <c r="R84" s="669">
        <v>0</v>
      </c>
      <c r="S84" s="669">
        <v>8607000</v>
      </c>
      <c r="T84" s="748"/>
      <c r="U84" s="748"/>
      <c r="V84" s="748"/>
      <c r="W84" s="748"/>
      <c r="X84" s="748"/>
      <c r="Y84" s="748"/>
      <c r="Z84" s="748"/>
      <c r="AA84" s="748"/>
      <c r="AB84" s="748"/>
      <c r="AC84" s="748"/>
      <c r="AD84" s="748"/>
      <c r="AE84" s="748"/>
      <c r="AF84" s="748"/>
      <c r="AG84" s="748"/>
      <c r="AH84" s="748"/>
      <c r="AI84" s="748"/>
      <c r="AJ84" s="748"/>
      <c r="AK84" s="748"/>
      <c r="AL84" s="748"/>
      <c r="AM84" s="748"/>
      <c r="AN84" s="748"/>
      <c r="AO84" s="748"/>
      <c r="AP84" s="748"/>
      <c r="AQ84" s="748"/>
      <c r="AR84" s="748"/>
      <c r="AS84" s="748"/>
      <c r="AT84" s="748"/>
      <c r="AU84" s="748"/>
      <c r="AV84" s="748"/>
      <c r="AW84" s="748"/>
      <c r="AX84" s="748"/>
      <c r="AY84" s="748"/>
      <c r="AZ84" s="748"/>
      <c r="BA84" s="748"/>
      <c r="BB84" s="748"/>
      <c r="BC84" s="748"/>
      <c r="BD84" s="748"/>
      <c r="BE84" s="748"/>
      <c r="BF84" s="748"/>
      <c r="BG84" s="748"/>
      <c r="BH84" s="748"/>
      <c r="BI84" s="748"/>
      <c r="BJ84" s="748"/>
      <c r="BK84" s="748"/>
      <c r="BL84" s="748"/>
      <c r="BM84" s="748"/>
      <c r="BN84" s="748"/>
      <c r="BO84" s="748"/>
      <c r="BP84" s="748"/>
      <c r="BQ84" s="748"/>
      <c r="BR84" s="748"/>
      <c r="BS84" s="748"/>
    </row>
    <row r="85" spans="1:71" hidden="1" x14ac:dyDescent="0.35">
      <c r="A85" s="799" t="s">
        <v>375</v>
      </c>
      <c r="B85" s="800">
        <v>2165897.9866697136</v>
      </c>
      <c r="C85" s="800">
        <v>0</v>
      </c>
      <c r="D85" s="800">
        <v>0</v>
      </c>
      <c r="E85" s="800">
        <v>2165897.9866697136</v>
      </c>
      <c r="F85" s="800">
        <v>0</v>
      </c>
      <c r="G85" s="801"/>
      <c r="H85" s="801"/>
      <c r="I85" s="800">
        <v>0</v>
      </c>
      <c r="J85" s="800">
        <v>0</v>
      </c>
      <c r="K85" s="800">
        <v>0</v>
      </c>
      <c r="L85" s="800">
        <v>15891004.298889663</v>
      </c>
      <c r="M85" s="800">
        <v>15891004.298889663</v>
      </c>
      <c r="N85" s="802"/>
      <c r="O85" s="802"/>
      <c r="P85" s="802"/>
      <c r="Q85" s="685">
        <v>983000</v>
      </c>
      <c r="R85" s="685">
        <v>0</v>
      </c>
      <c r="S85" s="685">
        <v>8607000</v>
      </c>
    </row>
    <row r="86" spans="1:71" s="749" customFormat="1" hidden="1" x14ac:dyDescent="0.35">
      <c r="A86" s="795" t="s">
        <v>376</v>
      </c>
      <c r="B86" s="796">
        <f>SUM(B87:B88)</f>
        <v>51304.365377700509</v>
      </c>
      <c r="C86" s="796">
        <f t="shared" ref="C86:M86" si="82">SUM(C87:C88)</f>
        <v>27584.861902694745</v>
      </c>
      <c r="D86" s="796">
        <f t="shared" si="82"/>
        <v>27584.861902694745</v>
      </c>
      <c r="E86" s="796">
        <f t="shared" si="82"/>
        <v>78889.227280395266</v>
      </c>
      <c r="F86" s="796">
        <f t="shared" si="82"/>
        <v>0</v>
      </c>
      <c r="G86" s="797"/>
      <c r="H86" s="797"/>
      <c r="I86" s="796">
        <f t="shared" si="82"/>
        <v>0</v>
      </c>
      <c r="J86" s="796">
        <f t="shared" si="82"/>
        <v>7033.0961822368881</v>
      </c>
      <c r="K86" s="796">
        <f t="shared" si="82"/>
        <v>406989.76577746344</v>
      </c>
      <c r="L86" s="796">
        <f t="shared" si="82"/>
        <v>926731.07011556858</v>
      </c>
      <c r="M86" s="796">
        <f t="shared" si="82"/>
        <v>1340753.9320752688</v>
      </c>
      <c r="N86" s="798"/>
      <c r="O86" s="798"/>
      <c r="P86" s="798"/>
      <c r="Q86" s="669">
        <v>195000</v>
      </c>
      <c r="R86" s="669">
        <v>0</v>
      </c>
      <c r="S86" s="669">
        <v>5243000</v>
      </c>
      <c r="T86" s="748"/>
      <c r="U86" s="748"/>
      <c r="V86" s="748"/>
      <c r="W86" s="748"/>
      <c r="X86" s="748"/>
      <c r="Y86" s="748"/>
      <c r="Z86" s="748"/>
      <c r="AA86" s="748"/>
      <c r="AB86" s="748"/>
      <c r="AC86" s="748"/>
      <c r="AD86" s="748"/>
      <c r="AE86" s="748"/>
      <c r="AF86" s="748"/>
      <c r="AG86" s="748"/>
      <c r="AH86" s="748"/>
      <c r="AI86" s="748"/>
      <c r="AJ86" s="748"/>
      <c r="AK86" s="748"/>
      <c r="AL86" s="748"/>
      <c r="AM86" s="748"/>
      <c r="AN86" s="748"/>
      <c r="AO86" s="748"/>
      <c r="AP86" s="748"/>
      <c r="AQ86" s="748"/>
      <c r="AR86" s="748"/>
      <c r="AS86" s="748"/>
      <c r="AT86" s="748"/>
      <c r="AU86" s="748"/>
      <c r="AV86" s="748"/>
      <c r="AW86" s="748"/>
      <c r="AX86" s="748"/>
      <c r="AY86" s="748"/>
      <c r="AZ86" s="748"/>
      <c r="BA86" s="748"/>
      <c r="BB86" s="748"/>
      <c r="BC86" s="748"/>
      <c r="BD86" s="748"/>
      <c r="BE86" s="748"/>
      <c r="BF86" s="748"/>
      <c r="BG86" s="748"/>
      <c r="BH86" s="748"/>
      <c r="BI86" s="748"/>
      <c r="BJ86" s="748"/>
      <c r="BK86" s="748"/>
      <c r="BL86" s="748"/>
      <c r="BM86" s="748"/>
      <c r="BN86" s="748"/>
      <c r="BO86" s="748"/>
      <c r="BP86" s="748"/>
      <c r="BQ86" s="748"/>
      <c r="BR86" s="748"/>
      <c r="BS86" s="748"/>
    </row>
    <row r="87" spans="1:71" hidden="1" x14ac:dyDescent="0.35">
      <c r="A87" s="799" t="s">
        <v>377</v>
      </c>
      <c r="B87" s="800">
        <v>50154.313843225347</v>
      </c>
      <c r="C87" s="800">
        <v>24360.971318174747</v>
      </c>
      <c r="D87" s="800">
        <v>24360.971318174747</v>
      </c>
      <c r="E87" s="800">
        <v>74515.285161400097</v>
      </c>
      <c r="F87" s="800">
        <v>0</v>
      </c>
      <c r="G87" s="801"/>
      <c r="H87" s="801"/>
      <c r="I87" s="800">
        <v>0</v>
      </c>
      <c r="J87" s="800">
        <v>0.56124640000000003</v>
      </c>
      <c r="K87" s="800">
        <v>359424.16698946344</v>
      </c>
      <c r="L87" s="800">
        <v>904412.2240230022</v>
      </c>
      <c r="M87" s="800">
        <v>1263836.9522588656</v>
      </c>
      <c r="N87" s="802"/>
      <c r="O87" s="802"/>
      <c r="P87" s="802"/>
      <c r="Q87" s="685">
        <v>129000</v>
      </c>
      <c r="R87" s="685">
        <v>0</v>
      </c>
      <c r="S87" s="685">
        <v>2969000</v>
      </c>
    </row>
    <row r="88" spans="1:71" hidden="1" x14ac:dyDescent="0.35">
      <c r="A88" s="799" t="s">
        <v>378</v>
      </c>
      <c r="B88" s="800">
        <v>1150.0515344751643</v>
      </c>
      <c r="C88" s="800">
        <v>3223.8905845200002</v>
      </c>
      <c r="D88" s="800">
        <v>3223.8905845200002</v>
      </c>
      <c r="E88" s="800">
        <v>4373.9421189951645</v>
      </c>
      <c r="F88" s="800">
        <v>0</v>
      </c>
      <c r="G88" s="801"/>
      <c r="H88" s="801"/>
      <c r="I88" s="800">
        <v>0</v>
      </c>
      <c r="J88" s="800">
        <v>7032.5349358368885</v>
      </c>
      <c r="K88" s="800">
        <v>47565.598787999996</v>
      </c>
      <c r="L88" s="800">
        <v>22318.846092566415</v>
      </c>
      <c r="M88" s="800">
        <v>76916.979816403298</v>
      </c>
      <c r="N88" s="802"/>
      <c r="O88" s="802"/>
      <c r="P88" s="802"/>
      <c r="Q88" s="685">
        <v>66000</v>
      </c>
      <c r="R88" s="685">
        <v>0</v>
      </c>
      <c r="S88" s="685">
        <v>2274000</v>
      </c>
    </row>
    <row r="89" spans="1:71" s="749" customFormat="1" hidden="1" x14ac:dyDescent="0.35">
      <c r="A89" s="795" t="s">
        <v>379</v>
      </c>
      <c r="B89" s="796">
        <f>B90</f>
        <v>466215.8991430045</v>
      </c>
      <c r="C89" s="796">
        <f t="shared" ref="C89:M89" si="83">C90</f>
        <v>0</v>
      </c>
      <c r="D89" s="796">
        <f t="shared" si="83"/>
        <v>0</v>
      </c>
      <c r="E89" s="796">
        <f t="shared" si="83"/>
        <v>466215.8991430045</v>
      </c>
      <c r="F89" s="796">
        <f t="shared" si="83"/>
        <v>0</v>
      </c>
      <c r="G89" s="797"/>
      <c r="H89" s="797"/>
      <c r="I89" s="796">
        <f t="shared" si="83"/>
        <v>0</v>
      </c>
      <c r="J89" s="796">
        <f t="shared" si="83"/>
        <v>0</v>
      </c>
      <c r="K89" s="796">
        <f t="shared" si="83"/>
        <v>0</v>
      </c>
      <c r="L89" s="796">
        <f t="shared" si="83"/>
        <v>8195580.4655610789</v>
      </c>
      <c r="M89" s="796">
        <f t="shared" si="83"/>
        <v>8195580.4655610789</v>
      </c>
      <c r="N89" s="798"/>
      <c r="O89" s="798"/>
      <c r="P89" s="798"/>
      <c r="Q89" s="669">
        <v>597000</v>
      </c>
      <c r="R89" s="669">
        <v>0</v>
      </c>
      <c r="S89" s="669">
        <v>5558000</v>
      </c>
      <c r="T89" s="748"/>
      <c r="U89" s="748"/>
      <c r="V89" s="748"/>
      <c r="W89" s="748"/>
      <c r="X89" s="748"/>
      <c r="Y89" s="748"/>
      <c r="Z89" s="748"/>
      <c r="AA89" s="748"/>
      <c r="AB89" s="748"/>
      <c r="AC89" s="748"/>
      <c r="AD89" s="748"/>
      <c r="AE89" s="748"/>
      <c r="AF89" s="748"/>
      <c r="AG89" s="748"/>
      <c r="AH89" s="748"/>
      <c r="AI89" s="748"/>
      <c r="AJ89" s="748"/>
      <c r="AK89" s="748"/>
      <c r="AL89" s="748"/>
      <c r="AM89" s="748"/>
      <c r="AN89" s="748"/>
      <c r="AO89" s="748"/>
      <c r="AP89" s="748"/>
      <c r="AQ89" s="748"/>
      <c r="AR89" s="748"/>
      <c r="AS89" s="748"/>
      <c r="AT89" s="748"/>
      <c r="AU89" s="748"/>
      <c r="AV89" s="748"/>
      <c r="AW89" s="748"/>
      <c r="AX89" s="748"/>
      <c r="AY89" s="748"/>
      <c r="AZ89" s="748"/>
      <c r="BA89" s="748"/>
      <c r="BB89" s="748"/>
      <c r="BC89" s="748"/>
      <c r="BD89" s="748"/>
      <c r="BE89" s="748"/>
      <c r="BF89" s="748"/>
      <c r="BG89" s="748"/>
      <c r="BH89" s="748"/>
      <c r="BI89" s="748"/>
      <c r="BJ89" s="748"/>
      <c r="BK89" s="748"/>
      <c r="BL89" s="748"/>
      <c r="BM89" s="748"/>
      <c r="BN89" s="748"/>
      <c r="BO89" s="748"/>
      <c r="BP89" s="748"/>
      <c r="BQ89" s="748"/>
      <c r="BR89" s="748"/>
      <c r="BS89" s="748"/>
    </row>
    <row r="90" spans="1:71" hidden="1" x14ac:dyDescent="0.35">
      <c r="A90" s="799" t="s">
        <v>380</v>
      </c>
      <c r="B90" s="800">
        <v>466215.8991430045</v>
      </c>
      <c r="C90" s="800">
        <v>0</v>
      </c>
      <c r="D90" s="800">
        <v>0</v>
      </c>
      <c r="E90" s="800">
        <v>466215.8991430045</v>
      </c>
      <c r="F90" s="800">
        <v>0</v>
      </c>
      <c r="G90" s="801"/>
      <c r="H90" s="801"/>
      <c r="I90" s="800">
        <v>0</v>
      </c>
      <c r="J90" s="800">
        <v>0</v>
      </c>
      <c r="K90" s="800">
        <v>0</v>
      </c>
      <c r="L90" s="800">
        <v>8195580.4655610789</v>
      </c>
      <c r="M90" s="800">
        <v>8195580.4655610789</v>
      </c>
      <c r="N90" s="802"/>
      <c r="O90" s="802"/>
      <c r="P90" s="802"/>
      <c r="Q90" s="685">
        <v>597000</v>
      </c>
      <c r="R90" s="685">
        <v>0</v>
      </c>
      <c r="S90" s="685">
        <v>5558000</v>
      </c>
    </row>
    <row r="91" spans="1:71" s="582" customFormat="1" hidden="1" x14ac:dyDescent="0.35">
      <c r="A91" s="791" t="s">
        <v>381</v>
      </c>
      <c r="B91" s="804">
        <f>B92+B99</f>
        <v>1956763.703839516</v>
      </c>
      <c r="C91" s="804">
        <f t="shared" ref="C91:M91" si="84">C92+C99</f>
        <v>676882.57603697898</v>
      </c>
      <c r="D91" s="804">
        <f t="shared" si="84"/>
        <v>534005.70181069954</v>
      </c>
      <c r="E91" s="804">
        <f t="shared" si="84"/>
        <v>2490769.4056502157</v>
      </c>
      <c r="F91" s="804">
        <f t="shared" si="84"/>
        <v>0</v>
      </c>
      <c r="G91" s="793"/>
      <c r="H91" s="793"/>
      <c r="I91" s="804">
        <f t="shared" si="84"/>
        <v>1846761.4785599997</v>
      </c>
      <c r="J91" s="804">
        <f t="shared" si="84"/>
        <v>465332.46227906528</v>
      </c>
      <c r="K91" s="804">
        <f t="shared" si="84"/>
        <v>9173874.9758112002</v>
      </c>
      <c r="L91" s="804">
        <f t="shared" si="84"/>
        <v>23399988.054036554</v>
      </c>
      <c r="M91" s="804">
        <f t="shared" si="84"/>
        <v>34885956.970686823</v>
      </c>
      <c r="N91" s="794"/>
      <c r="O91" s="794"/>
      <c r="P91" s="794"/>
      <c r="Q91" s="805">
        <v>3194000</v>
      </c>
      <c r="R91" s="805">
        <v>0</v>
      </c>
      <c r="S91" s="805">
        <v>53595000</v>
      </c>
    </row>
    <row r="92" spans="1:71" s="749" customFormat="1" hidden="1" x14ac:dyDescent="0.35">
      <c r="A92" s="795" t="s">
        <v>382</v>
      </c>
      <c r="B92" s="796">
        <f>SUM(B93:B94)</f>
        <v>43825.405913972128</v>
      </c>
      <c r="C92" s="796">
        <f t="shared" ref="C92:M92" si="85">SUM(C93:C94)</f>
        <v>3651.4055200000007</v>
      </c>
      <c r="D92" s="796">
        <f t="shared" si="85"/>
        <v>3651.4055200000007</v>
      </c>
      <c r="E92" s="796">
        <f t="shared" si="85"/>
        <v>47476.811433972129</v>
      </c>
      <c r="F92" s="796">
        <f t="shared" si="85"/>
        <v>0</v>
      </c>
      <c r="G92" s="797"/>
      <c r="H92" s="797"/>
      <c r="I92" s="796">
        <f t="shared" si="85"/>
        <v>0</v>
      </c>
      <c r="J92" s="796">
        <f t="shared" si="85"/>
        <v>0</v>
      </c>
      <c r="K92" s="796">
        <f t="shared" si="85"/>
        <v>773238.81599999999</v>
      </c>
      <c r="L92" s="796">
        <f t="shared" si="85"/>
        <v>653905.65625673998</v>
      </c>
      <c r="M92" s="796">
        <f t="shared" si="85"/>
        <v>1427144.4722567401</v>
      </c>
      <c r="N92" s="798"/>
      <c r="O92" s="798"/>
      <c r="P92" s="798"/>
      <c r="Q92" s="669">
        <v>213000</v>
      </c>
      <c r="R92" s="669">
        <v>0</v>
      </c>
      <c r="S92" s="669">
        <v>2914000</v>
      </c>
      <c r="T92" s="748"/>
      <c r="U92" s="748"/>
      <c r="V92" s="748"/>
      <c r="W92" s="748"/>
      <c r="X92" s="748"/>
      <c r="Y92" s="748"/>
      <c r="Z92" s="748"/>
      <c r="AA92" s="748"/>
      <c r="AB92" s="748"/>
      <c r="AC92" s="748"/>
      <c r="AD92" s="748"/>
      <c r="AE92" s="748"/>
      <c r="AF92" s="748"/>
      <c r="AG92" s="748"/>
      <c r="AH92" s="748"/>
      <c r="AI92" s="748"/>
      <c r="AJ92" s="748"/>
      <c r="AK92" s="748"/>
      <c r="AL92" s="748"/>
      <c r="AM92" s="748"/>
      <c r="AN92" s="748"/>
      <c r="AO92" s="748"/>
      <c r="AP92" s="748"/>
      <c r="AQ92" s="748"/>
      <c r="AR92" s="748"/>
      <c r="AS92" s="748"/>
      <c r="AT92" s="748"/>
      <c r="AU92" s="748"/>
      <c r="AV92" s="748"/>
      <c r="AW92" s="748"/>
      <c r="AX92" s="748"/>
      <c r="AY92" s="748"/>
      <c r="AZ92" s="748"/>
      <c r="BA92" s="748"/>
      <c r="BB92" s="748"/>
      <c r="BC92" s="748"/>
      <c r="BD92" s="748"/>
      <c r="BE92" s="748"/>
      <c r="BF92" s="748"/>
      <c r="BG92" s="748"/>
      <c r="BH92" s="748"/>
      <c r="BI92" s="748"/>
      <c r="BJ92" s="748"/>
      <c r="BK92" s="748"/>
      <c r="BL92" s="748"/>
      <c r="BM92" s="748"/>
      <c r="BN92" s="748"/>
      <c r="BO92" s="748"/>
      <c r="BP92" s="748"/>
      <c r="BQ92" s="748"/>
      <c r="BR92" s="748"/>
      <c r="BS92" s="748"/>
    </row>
    <row r="93" spans="1:71" hidden="1" x14ac:dyDescent="0.35">
      <c r="A93" s="799" t="s">
        <v>383</v>
      </c>
      <c r="B93" s="800">
        <v>38248.316075431561</v>
      </c>
      <c r="C93" s="800">
        <v>3651.4055200000007</v>
      </c>
      <c r="D93" s="800">
        <v>3651.4055200000007</v>
      </c>
      <c r="E93" s="800">
        <v>41899.721595431562</v>
      </c>
      <c r="F93" s="800">
        <v>0</v>
      </c>
      <c r="G93" s="801"/>
      <c r="H93" s="801"/>
      <c r="I93" s="800">
        <v>0</v>
      </c>
      <c r="J93" s="800">
        <v>0</v>
      </c>
      <c r="K93" s="800">
        <v>773238.81599999999</v>
      </c>
      <c r="L93" s="800">
        <v>574867.47155130003</v>
      </c>
      <c r="M93" s="800">
        <v>1348106.2875513001</v>
      </c>
      <c r="N93" s="802"/>
      <c r="O93" s="802"/>
      <c r="P93" s="802"/>
      <c r="Q93" s="685">
        <v>213000</v>
      </c>
      <c r="R93" s="685"/>
      <c r="S93" s="685">
        <v>2914000</v>
      </c>
    </row>
    <row r="94" spans="1:71" hidden="1" x14ac:dyDescent="0.35">
      <c r="A94" s="799" t="s">
        <v>573</v>
      </c>
      <c r="B94" s="800">
        <v>5577.0898385405681</v>
      </c>
      <c r="C94" s="800">
        <v>0</v>
      </c>
      <c r="D94" s="800">
        <v>0</v>
      </c>
      <c r="E94" s="800">
        <v>5577.0898385405681</v>
      </c>
      <c r="F94" s="800">
        <v>0</v>
      </c>
      <c r="G94" s="801"/>
      <c r="H94" s="801"/>
      <c r="I94" s="800">
        <v>0</v>
      </c>
      <c r="J94" s="800">
        <v>0</v>
      </c>
      <c r="K94" s="800">
        <v>0</v>
      </c>
      <c r="L94" s="800">
        <v>79038.184705440013</v>
      </c>
      <c r="M94" s="800">
        <v>79038.184705440013</v>
      </c>
      <c r="N94" s="802"/>
      <c r="O94" s="802"/>
      <c r="P94" s="802"/>
      <c r="Q94" s="685"/>
      <c r="R94" s="685"/>
      <c r="S94" s="685"/>
    </row>
    <row r="95" spans="1:71" hidden="1" x14ac:dyDescent="0.35">
      <c r="A95" s="799" t="s">
        <v>373</v>
      </c>
      <c r="B95" s="800"/>
      <c r="C95" s="800"/>
      <c r="D95" s="800"/>
      <c r="E95" s="800"/>
      <c r="F95" s="800"/>
      <c r="G95" s="801"/>
      <c r="H95" s="801"/>
      <c r="I95" s="800"/>
      <c r="J95" s="800"/>
      <c r="K95" s="800"/>
      <c r="L95" s="800"/>
      <c r="M95" s="800"/>
      <c r="N95" s="802"/>
      <c r="O95" s="802"/>
      <c r="P95" s="802"/>
      <c r="Q95" s="685">
        <v>0</v>
      </c>
      <c r="R95" s="685">
        <v>0</v>
      </c>
      <c r="S95" s="685">
        <v>0</v>
      </c>
    </row>
    <row r="96" spans="1:71" hidden="1" x14ac:dyDescent="0.35">
      <c r="A96" s="799" t="s">
        <v>516</v>
      </c>
      <c r="B96" s="800"/>
      <c r="C96" s="800"/>
      <c r="D96" s="800"/>
      <c r="E96" s="800"/>
      <c r="F96" s="800"/>
      <c r="G96" s="801"/>
      <c r="H96" s="801"/>
      <c r="I96" s="800"/>
      <c r="J96" s="800"/>
      <c r="K96" s="800"/>
      <c r="L96" s="800"/>
      <c r="M96" s="800"/>
      <c r="N96" s="802"/>
      <c r="O96" s="802"/>
      <c r="P96" s="802"/>
      <c r="Q96" s="685"/>
      <c r="R96" s="685"/>
      <c r="S96" s="685"/>
    </row>
    <row r="97" spans="1:71" hidden="1" x14ac:dyDescent="0.35">
      <c r="A97" s="799" t="s">
        <v>517</v>
      </c>
      <c r="B97" s="800"/>
      <c r="C97" s="800"/>
      <c r="D97" s="800"/>
      <c r="E97" s="800"/>
      <c r="F97" s="800"/>
      <c r="G97" s="801"/>
      <c r="H97" s="801"/>
      <c r="I97" s="800"/>
      <c r="J97" s="800"/>
      <c r="K97" s="800"/>
      <c r="L97" s="800"/>
      <c r="M97" s="800"/>
      <c r="N97" s="802"/>
      <c r="O97" s="802"/>
      <c r="P97" s="802"/>
      <c r="Q97" s="685"/>
      <c r="R97" s="685"/>
      <c r="S97" s="685"/>
    </row>
    <row r="98" spans="1:71" hidden="1" x14ac:dyDescent="0.35">
      <c r="A98" s="799" t="s">
        <v>518</v>
      </c>
      <c r="B98" s="800"/>
      <c r="C98" s="800"/>
      <c r="D98" s="800"/>
      <c r="E98" s="800"/>
      <c r="F98" s="800"/>
      <c r="G98" s="801"/>
      <c r="H98" s="801"/>
      <c r="I98" s="800"/>
      <c r="J98" s="800"/>
      <c r="K98" s="800"/>
      <c r="L98" s="800"/>
      <c r="M98" s="800"/>
      <c r="N98" s="802"/>
      <c r="O98" s="802"/>
      <c r="P98" s="802"/>
      <c r="Q98" s="685"/>
      <c r="R98" s="685"/>
      <c r="S98" s="685"/>
    </row>
    <row r="99" spans="1:71" s="749" customFormat="1" hidden="1" x14ac:dyDescent="0.35">
      <c r="A99" s="795" t="s">
        <v>384</v>
      </c>
      <c r="B99" s="796">
        <f>B100+B109</f>
        <v>1912938.297925544</v>
      </c>
      <c r="C99" s="796">
        <f t="shared" ref="C99:M99" si="86">C100+C109</f>
        <v>673231.17051697895</v>
      </c>
      <c r="D99" s="796">
        <f t="shared" si="86"/>
        <v>530354.29629069951</v>
      </c>
      <c r="E99" s="796">
        <f t="shared" si="86"/>
        <v>2443292.5942162434</v>
      </c>
      <c r="F99" s="796">
        <f t="shared" si="86"/>
        <v>0</v>
      </c>
      <c r="G99" s="797"/>
      <c r="H99" s="797"/>
      <c r="I99" s="796">
        <f t="shared" si="86"/>
        <v>1846761.4785599997</v>
      </c>
      <c r="J99" s="796">
        <f t="shared" si="86"/>
        <v>465332.46227906528</v>
      </c>
      <c r="K99" s="796">
        <f t="shared" si="86"/>
        <v>8400636.1598112006</v>
      </c>
      <c r="L99" s="796">
        <f t="shared" si="86"/>
        <v>22746082.397779815</v>
      </c>
      <c r="M99" s="796">
        <f t="shared" si="86"/>
        <v>33458812.498430081</v>
      </c>
      <c r="N99" s="798"/>
      <c r="O99" s="798"/>
      <c r="P99" s="798"/>
      <c r="Q99" s="669">
        <v>2981000</v>
      </c>
      <c r="R99" s="669">
        <v>0</v>
      </c>
      <c r="S99" s="669">
        <v>50681000</v>
      </c>
      <c r="T99" s="748"/>
      <c r="U99" s="748"/>
      <c r="V99" s="748"/>
      <c r="W99" s="748"/>
      <c r="X99" s="748"/>
      <c r="Y99" s="748"/>
      <c r="Z99" s="748"/>
      <c r="AA99" s="748"/>
      <c r="AB99" s="748"/>
      <c r="AC99" s="748"/>
      <c r="AD99" s="748"/>
      <c r="AE99" s="748"/>
      <c r="AF99" s="748"/>
      <c r="AG99" s="748"/>
      <c r="AH99" s="748"/>
      <c r="AI99" s="748"/>
      <c r="AJ99" s="748"/>
      <c r="AK99" s="748"/>
      <c r="AL99" s="748"/>
      <c r="AM99" s="748"/>
      <c r="AN99" s="748"/>
      <c r="AO99" s="748"/>
      <c r="AP99" s="748"/>
      <c r="AQ99" s="748"/>
      <c r="AR99" s="748"/>
      <c r="AS99" s="748"/>
      <c r="AT99" s="748"/>
      <c r="AU99" s="748"/>
      <c r="AV99" s="748"/>
      <c r="AW99" s="748"/>
      <c r="AX99" s="748"/>
      <c r="AY99" s="748"/>
      <c r="AZ99" s="748"/>
      <c r="BA99" s="748"/>
      <c r="BB99" s="748"/>
      <c r="BC99" s="748"/>
      <c r="BD99" s="748"/>
      <c r="BE99" s="748"/>
      <c r="BF99" s="748"/>
      <c r="BG99" s="748"/>
      <c r="BH99" s="748"/>
      <c r="BI99" s="748"/>
      <c r="BJ99" s="748"/>
      <c r="BK99" s="748"/>
      <c r="BL99" s="748"/>
      <c r="BM99" s="748"/>
      <c r="BN99" s="748"/>
      <c r="BO99" s="748"/>
      <c r="BP99" s="748"/>
      <c r="BQ99" s="748"/>
      <c r="BR99" s="748"/>
      <c r="BS99" s="748"/>
    </row>
    <row r="100" spans="1:71" hidden="1" x14ac:dyDescent="0.35">
      <c r="A100" s="799" t="s">
        <v>385</v>
      </c>
      <c r="B100" s="800">
        <v>4936.2690581903544</v>
      </c>
      <c r="C100" s="800">
        <v>7514.2522147331647</v>
      </c>
      <c r="D100" s="800">
        <v>7514.2522147331647</v>
      </c>
      <c r="E100" s="800">
        <v>12450.521272923519</v>
      </c>
      <c r="F100" s="800">
        <v>0</v>
      </c>
      <c r="G100" s="801"/>
      <c r="H100" s="801"/>
      <c r="I100" s="800">
        <v>0</v>
      </c>
      <c r="J100" s="800">
        <v>0</v>
      </c>
      <c r="K100" s="800">
        <v>92718.637199999997</v>
      </c>
      <c r="L100" s="800">
        <v>77173.720594287806</v>
      </c>
      <c r="M100" s="800">
        <v>169892.35779428779</v>
      </c>
      <c r="N100" s="802"/>
      <c r="O100" s="802"/>
      <c r="P100" s="802"/>
      <c r="Q100" s="685">
        <v>14000</v>
      </c>
      <c r="R100" s="685">
        <v>0</v>
      </c>
      <c r="S100" s="685">
        <v>206000</v>
      </c>
    </row>
    <row r="101" spans="1:71" hidden="1" x14ac:dyDescent="0.35">
      <c r="A101" s="799" t="s">
        <v>373</v>
      </c>
      <c r="B101" s="800"/>
      <c r="C101" s="800"/>
      <c r="D101" s="800"/>
      <c r="E101" s="800"/>
      <c r="F101" s="800"/>
      <c r="G101" s="801"/>
      <c r="H101" s="801"/>
      <c r="I101" s="800"/>
      <c r="J101" s="800"/>
      <c r="K101" s="800"/>
      <c r="L101" s="800"/>
      <c r="M101" s="800"/>
      <c r="N101" s="802"/>
      <c r="O101" s="802"/>
      <c r="P101" s="802"/>
      <c r="Q101" s="685">
        <v>0</v>
      </c>
      <c r="R101" s="685">
        <v>0</v>
      </c>
      <c r="S101" s="685">
        <v>0</v>
      </c>
    </row>
    <row r="102" spans="1:71" hidden="1" x14ac:dyDescent="0.35">
      <c r="A102" s="799" t="s">
        <v>525</v>
      </c>
      <c r="B102" s="800"/>
      <c r="C102" s="800"/>
      <c r="D102" s="800"/>
      <c r="E102" s="800"/>
      <c r="F102" s="800"/>
      <c r="G102" s="801"/>
      <c r="H102" s="801"/>
      <c r="I102" s="800"/>
      <c r="J102" s="800"/>
      <c r="K102" s="800"/>
      <c r="L102" s="800"/>
      <c r="M102" s="800"/>
      <c r="N102" s="802"/>
      <c r="O102" s="802"/>
      <c r="P102" s="802"/>
      <c r="Q102" s="685"/>
      <c r="R102" s="685"/>
      <c r="S102" s="685"/>
    </row>
    <row r="103" spans="1:71" hidden="1" x14ac:dyDescent="0.35">
      <c r="A103" s="799" t="s">
        <v>526</v>
      </c>
      <c r="B103" s="800"/>
      <c r="C103" s="800"/>
      <c r="D103" s="800"/>
      <c r="E103" s="800"/>
      <c r="F103" s="800"/>
      <c r="G103" s="801"/>
      <c r="H103" s="801"/>
      <c r="I103" s="800"/>
      <c r="J103" s="800"/>
      <c r="K103" s="800"/>
      <c r="L103" s="800"/>
      <c r="M103" s="800"/>
      <c r="N103" s="802"/>
      <c r="O103" s="802"/>
      <c r="P103" s="802"/>
      <c r="Q103" s="685"/>
      <c r="R103" s="685"/>
      <c r="S103" s="685"/>
    </row>
    <row r="104" spans="1:71" hidden="1" x14ac:dyDescent="0.35">
      <c r="A104" s="799" t="s">
        <v>527</v>
      </c>
      <c r="B104" s="800"/>
      <c r="C104" s="800"/>
      <c r="D104" s="800"/>
      <c r="E104" s="800"/>
      <c r="F104" s="800"/>
      <c r="G104" s="801"/>
      <c r="H104" s="801"/>
      <c r="I104" s="800"/>
      <c r="J104" s="800"/>
      <c r="K104" s="800"/>
      <c r="L104" s="800"/>
      <c r="M104" s="800"/>
      <c r="N104" s="802"/>
      <c r="O104" s="802"/>
      <c r="P104" s="802"/>
      <c r="Q104" s="685"/>
      <c r="R104" s="685"/>
      <c r="S104" s="685"/>
    </row>
    <row r="105" spans="1:71" hidden="1" x14ac:dyDescent="0.35">
      <c r="A105" s="799" t="s">
        <v>528</v>
      </c>
      <c r="B105" s="800"/>
      <c r="C105" s="800"/>
      <c r="D105" s="800"/>
      <c r="E105" s="800"/>
      <c r="F105" s="800"/>
      <c r="G105" s="801"/>
      <c r="H105" s="801"/>
      <c r="I105" s="800"/>
      <c r="J105" s="800"/>
      <c r="K105" s="800"/>
      <c r="L105" s="800"/>
      <c r="M105" s="800"/>
      <c r="N105" s="802"/>
      <c r="O105" s="802"/>
      <c r="P105" s="802"/>
      <c r="Q105" s="685"/>
      <c r="R105" s="685"/>
      <c r="S105" s="685"/>
    </row>
    <row r="106" spans="1:71" hidden="1" x14ac:dyDescent="0.35">
      <c r="A106" s="799" t="s">
        <v>529</v>
      </c>
      <c r="B106" s="800"/>
      <c r="C106" s="800"/>
      <c r="D106" s="800"/>
      <c r="E106" s="800"/>
      <c r="F106" s="800"/>
      <c r="G106" s="801"/>
      <c r="H106" s="801"/>
      <c r="I106" s="800"/>
      <c r="J106" s="800"/>
      <c r="K106" s="800"/>
      <c r="L106" s="800"/>
      <c r="M106" s="800"/>
      <c r="N106" s="802"/>
      <c r="O106" s="802"/>
      <c r="P106" s="802"/>
      <c r="Q106" s="685"/>
      <c r="R106" s="685"/>
      <c r="S106" s="685"/>
    </row>
    <row r="107" spans="1:71" hidden="1" x14ac:dyDescent="0.35">
      <c r="A107" s="799" t="s">
        <v>530</v>
      </c>
      <c r="B107" s="800"/>
      <c r="C107" s="800"/>
      <c r="D107" s="800"/>
      <c r="E107" s="800"/>
      <c r="F107" s="800"/>
      <c r="G107" s="801"/>
      <c r="H107" s="801"/>
      <c r="I107" s="800"/>
      <c r="J107" s="800"/>
      <c r="K107" s="800"/>
      <c r="L107" s="800"/>
      <c r="M107" s="800"/>
      <c r="N107" s="802"/>
      <c r="O107" s="802"/>
      <c r="P107" s="802"/>
      <c r="Q107" s="685"/>
      <c r="R107" s="685"/>
      <c r="S107" s="685"/>
    </row>
    <row r="108" spans="1:71" hidden="1" x14ac:dyDescent="0.35">
      <c r="A108" s="799" t="s">
        <v>531</v>
      </c>
      <c r="B108" s="800"/>
      <c r="C108" s="800"/>
      <c r="D108" s="800"/>
      <c r="E108" s="800"/>
      <c r="F108" s="800"/>
      <c r="G108" s="801"/>
      <c r="H108" s="801"/>
      <c r="I108" s="800"/>
      <c r="J108" s="800"/>
      <c r="K108" s="800"/>
      <c r="L108" s="800"/>
      <c r="M108" s="800"/>
      <c r="N108" s="802"/>
      <c r="O108" s="802"/>
      <c r="P108" s="802"/>
      <c r="Q108" s="685"/>
      <c r="R108" s="685"/>
      <c r="S108" s="685"/>
    </row>
    <row r="109" spans="1:71" s="811" customFormat="1" hidden="1" x14ac:dyDescent="0.35">
      <c r="A109" s="806" t="s">
        <v>386</v>
      </c>
      <c r="B109" s="807">
        <f>SUM(B110:B116)</f>
        <v>1908002.0288673537</v>
      </c>
      <c r="C109" s="807">
        <f t="shared" ref="C109:M109" si="87">SUM(C110:C116)</f>
        <v>665716.91830224579</v>
      </c>
      <c r="D109" s="807">
        <f t="shared" si="87"/>
        <v>522840.04407596629</v>
      </c>
      <c r="E109" s="807">
        <f t="shared" si="87"/>
        <v>2430842.07294332</v>
      </c>
      <c r="F109" s="807">
        <f t="shared" si="87"/>
        <v>0</v>
      </c>
      <c r="G109" s="808"/>
      <c r="H109" s="808"/>
      <c r="I109" s="807">
        <f t="shared" si="87"/>
        <v>1846761.4785599997</v>
      </c>
      <c r="J109" s="807">
        <f t="shared" si="87"/>
        <v>465332.46227906528</v>
      </c>
      <c r="K109" s="807">
        <f t="shared" si="87"/>
        <v>8307917.5226112008</v>
      </c>
      <c r="L109" s="807">
        <f t="shared" si="87"/>
        <v>22668908.677185528</v>
      </c>
      <c r="M109" s="807">
        <f t="shared" si="87"/>
        <v>33288920.140635792</v>
      </c>
      <c r="N109" s="809"/>
      <c r="O109" s="809"/>
      <c r="P109" s="809"/>
      <c r="Q109" s="810">
        <v>2967000</v>
      </c>
      <c r="R109" s="810">
        <v>0</v>
      </c>
      <c r="S109" s="810">
        <v>50475000</v>
      </c>
      <c r="T109" s="748"/>
      <c r="U109" s="748"/>
      <c r="V109" s="748"/>
      <c r="W109" s="748"/>
      <c r="X109" s="748"/>
      <c r="Y109" s="748"/>
      <c r="Z109" s="748"/>
      <c r="AA109" s="748"/>
      <c r="AB109" s="748"/>
      <c r="AC109" s="748"/>
      <c r="AD109" s="748"/>
      <c r="AE109" s="748"/>
      <c r="AF109" s="748"/>
      <c r="AG109" s="748"/>
      <c r="AH109" s="748"/>
      <c r="AI109" s="748"/>
      <c r="AJ109" s="748"/>
      <c r="AK109" s="748"/>
      <c r="AL109" s="748"/>
      <c r="AM109" s="748"/>
      <c r="AN109" s="748"/>
      <c r="AO109" s="748"/>
      <c r="AP109" s="748"/>
      <c r="AQ109" s="748"/>
      <c r="AR109" s="748"/>
      <c r="AS109" s="748"/>
      <c r="AT109" s="748"/>
      <c r="AU109" s="748"/>
      <c r="AV109" s="748"/>
      <c r="AW109" s="748"/>
      <c r="AX109" s="748"/>
      <c r="AY109" s="748"/>
      <c r="AZ109" s="748"/>
      <c r="BA109" s="748"/>
      <c r="BB109" s="748"/>
      <c r="BC109" s="748"/>
      <c r="BD109" s="748"/>
      <c r="BE109" s="748"/>
      <c r="BF109" s="748"/>
      <c r="BG109" s="748"/>
      <c r="BH109" s="748"/>
      <c r="BI109" s="748"/>
      <c r="BJ109" s="748"/>
      <c r="BK109" s="748"/>
      <c r="BL109" s="748"/>
      <c r="BM109" s="748"/>
      <c r="BN109" s="748"/>
      <c r="BO109" s="748"/>
      <c r="BP109" s="748"/>
      <c r="BQ109" s="748"/>
      <c r="BR109" s="748"/>
      <c r="BS109" s="748"/>
    </row>
    <row r="110" spans="1:71" hidden="1" x14ac:dyDescent="0.35">
      <c r="A110" s="799" t="s">
        <v>574</v>
      </c>
      <c r="B110" s="800">
        <v>763813.77869732631</v>
      </c>
      <c r="C110" s="800">
        <v>418120.47552141978</v>
      </c>
      <c r="D110" s="800">
        <v>301369.04461545934</v>
      </c>
      <c r="E110" s="800">
        <v>1065182.8233127857</v>
      </c>
      <c r="F110" s="800"/>
      <c r="G110" s="801"/>
      <c r="H110" s="801"/>
      <c r="I110" s="800">
        <v>1514676.31272</v>
      </c>
      <c r="J110" s="800">
        <v>127013.16949773551</v>
      </c>
      <c r="K110" s="800">
        <v>5568331.2026272006</v>
      </c>
      <c r="L110" s="800">
        <v>7130105.8949974431</v>
      </c>
      <c r="M110" s="800">
        <v>14340126.579842381</v>
      </c>
      <c r="N110" s="802"/>
      <c r="O110" s="802"/>
      <c r="P110" s="802"/>
      <c r="Q110" s="685">
        <v>1315000</v>
      </c>
      <c r="R110" s="685">
        <v>0</v>
      </c>
      <c r="S110" s="685">
        <v>14438000</v>
      </c>
    </row>
    <row r="111" spans="1:71" hidden="1" x14ac:dyDescent="0.35">
      <c r="A111" s="799" t="s">
        <v>389</v>
      </c>
      <c r="B111" s="800">
        <v>228047.99112184215</v>
      </c>
      <c r="C111" s="800">
        <v>102546.92937994386</v>
      </c>
      <c r="D111" s="800">
        <v>81863.447780388611</v>
      </c>
      <c r="E111" s="800">
        <v>309911.43890223076</v>
      </c>
      <c r="F111" s="800"/>
      <c r="G111" s="801"/>
      <c r="H111" s="801"/>
      <c r="I111" s="800">
        <v>255214.24776000003</v>
      </c>
      <c r="J111" s="800">
        <v>130791.74649212681</v>
      </c>
      <c r="K111" s="800">
        <v>1010116.1230399995</v>
      </c>
      <c r="L111" s="800">
        <v>3261436.1689655222</v>
      </c>
      <c r="M111" s="800">
        <v>4657558.2862576488</v>
      </c>
      <c r="N111" s="802"/>
      <c r="O111" s="802"/>
      <c r="P111" s="802"/>
      <c r="Q111" s="685">
        <v>963000</v>
      </c>
      <c r="R111" s="685">
        <v>0</v>
      </c>
      <c r="S111" s="685">
        <v>22025000</v>
      </c>
    </row>
    <row r="112" spans="1:71" hidden="1" x14ac:dyDescent="0.35">
      <c r="A112" s="799" t="s">
        <v>391</v>
      </c>
      <c r="B112" s="800">
        <v>31558.17471807211</v>
      </c>
      <c r="C112" s="800">
        <v>630.43603063388014</v>
      </c>
      <c r="D112" s="800">
        <v>47.538171999999996</v>
      </c>
      <c r="E112" s="800">
        <v>31605.712890072111</v>
      </c>
      <c r="F112" s="800"/>
      <c r="G112" s="801"/>
      <c r="H112" s="801"/>
      <c r="I112" s="800">
        <v>7778.9735999999994</v>
      </c>
      <c r="J112" s="800">
        <v>0</v>
      </c>
      <c r="K112" s="800">
        <v>7778.9735999999994</v>
      </c>
      <c r="L112" s="800">
        <v>460260.43645337998</v>
      </c>
      <c r="M112" s="800">
        <v>475818.38365337998</v>
      </c>
      <c r="N112" s="802"/>
      <c r="O112" s="802"/>
      <c r="P112" s="802"/>
      <c r="Q112" s="685">
        <v>94000</v>
      </c>
      <c r="R112" s="685">
        <v>0</v>
      </c>
      <c r="S112" s="685">
        <v>2080000</v>
      </c>
    </row>
    <row r="113" spans="1:19" hidden="1" x14ac:dyDescent="0.35">
      <c r="A113" s="799" t="s">
        <v>392</v>
      </c>
      <c r="B113" s="800">
        <v>45108.236178657527</v>
      </c>
      <c r="C113" s="800">
        <v>53026.19893856594</v>
      </c>
      <c r="D113" s="800">
        <v>53038.482414425991</v>
      </c>
      <c r="E113" s="800">
        <v>98146.718593083526</v>
      </c>
      <c r="F113" s="800"/>
      <c r="G113" s="801"/>
      <c r="H113" s="801"/>
      <c r="I113" s="800">
        <v>0</v>
      </c>
      <c r="J113" s="800">
        <v>0</v>
      </c>
      <c r="K113" s="800">
        <v>654292.23840000003</v>
      </c>
      <c r="L113" s="800">
        <v>669504.09645329439</v>
      </c>
      <c r="M113" s="800">
        <v>1323796.3348532945</v>
      </c>
      <c r="N113" s="802"/>
      <c r="O113" s="802"/>
      <c r="P113" s="802"/>
      <c r="Q113" s="685">
        <v>91000</v>
      </c>
      <c r="R113" s="685"/>
      <c r="S113" s="685">
        <v>8446000</v>
      </c>
    </row>
    <row r="114" spans="1:19" hidden="1" x14ac:dyDescent="0.35">
      <c r="A114" s="812" t="s">
        <v>393</v>
      </c>
      <c r="B114" s="813">
        <v>111349.78133793104</v>
      </c>
      <c r="C114" s="813">
        <v>91392.486893838359</v>
      </c>
      <c r="D114" s="813">
        <v>86521.139555848524</v>
      </c>
      <c r="E114" s="813">
        <v>197870.92089377958</v>
      </c>
      <c r="F114" s="813"/>
      <c r="G114" s="814"/>
      <c r="H114" s="814"/>
      <c r="I114" s="813">
        <v>60301.136879999998</v>
      </c>
      <c r="J114" s="813">
        <v>207527.54628920293</v>
      </c>
      <c r="K114" s="813">
        <v>1067394.153744</v>
      </c>
      <c r="L114" s="813">
        <v>1565330.6057395865</v>
      </c>
      <c r="M114" s="813">
        <v>2900553.4426527894</v>
      </c>
      <c r="N114" s="815"/>
      <c r="O114" s="815"/>
      <c r="P114" s="815"/>
      <c r="Q114" s="816">
        <v>504000</v>
      </c>
      <c r="R114" s="816">
        <v>0</v>
      </c>
      <c r="S114" s="816">
        <v>3486000</v>
      </c>
    </row>
    <row r="115" spans="1:19" hidden="1" x14ac:dyDescent="0.35">
      <c r="A115" s="817" t="s">
        <v>395</v>
      </c>
      <c r="B115" s="773">
        <v>163176.80311662029</v>
      </c>
      <c r="C115" s="773">
        <v>0.39153784391277563</v>
      </c>
      <c r="D115" s="773">
        <v>0.39153784391277563</v>
      </c>
      <c r="E115" s="773">
        <v>163177.1946544642</v>
      </c>
      <c r="F115" s="773">
        <v>0</v>
      </c>
      <c r="G115" s="777"/>
      <c r="H115" s="777"/>
      <c r="I115" s="773">
        <v>8790.8076000000001</v>
      </c>
      <c r="J115" s="773">
        <v>0</v>
      </c>
      <c r="K115" s="773">
        <v>4.8311999999999999</v>
      </c>
      <c r="L115" s="773">
        <v>2905847.18552115</v>
      </c>
      <c r="M115" s="773">
        <v>2914642.8243211498</v>
      </c>
      <c r="N115" s="817"/>
      <c r="O115" s="817"/>
      <c r="P115" s="817"/>
      <c r="Q115" s="685"/>
      <c r="R115" s="685"/>
      <c r="S115" s="685"/>
    </row>
    <row r="116" spans="1:19" hidden="1" x14ac:dyDescent="0.35">
      <c r="A116" s="817" t="s">
        <v>396</v>
      </c>
      <c r="B116" s="773">
        <v>564947.26369690418</v>
      </c>
      <c r="C116" s="773" t="s">
        <v>575</v>
      </c>
      <c r="D116" s="773">
        <v>0</v>
      </c>
      <c r="E116" s="773">
        <v>564947.26369690418</v>
      </c>
      <c r="F116" s="773">
        <v>0</v>
      </c>
      <c r="G116" s="777"/>
      <c r="H116" s="777"/>
      <c r="I116" s="773">
        <v>0</v>
      </c>
      <c r="J116" s="773">
        <v>0</v>
      </c>
      <c r="K116" s="773">
        <v>0</v>
      </c>
      <c r="L116" s="773">
        <v>6676424.2890551509</v>
      </c>
      <c r="M116" s="773">
        <v>6676424.2890551509</v>
      </c>
      <c r="N116" s="817"/>
      <c r="O116" s="817"/>
      <c r="P116" s="817"/>
      <c r="Q116" s="685"/>
      <c r="R116" s="685"/>
      <c r="S116" s="685"/>
    </row>
    <row r="117" spans="1:19" x14ac:dyDescent="0.35">
      <c r="A117" s="788"/>
      <c r="B117" s="788"/>
      <c r="C117" s="788"/>
      <c r="D117" s="788"/>
      <c r="E117" s="788"/>
      <c r="F117" s="788"/>
      <c r="G117" s="789"/>
      <c r="H117" s="789"/>
      <c r="I117" s="788"/>
      <c r="J117" s="788"/>
      <c r="K117" s="788"/>
      <c r="L117" s="788"/>
      <c r="M117" s="818">
        <v>0</v>
      </c>
      <c r="N117" s="788"/>
      <c r="O117" s="788"/>
      <c r="P117" s="788"/>
      <c r="Q117" s="790"/>
      <c r="R117" s="790"/>
      <c r="S117" s="790"/>
    </row>
    <row r="118" spans="1:19" x14ac:dyDescent="0.35">
      <c r="A118" s="788"/>
      <c r="B118" s="818">
        <f>ROUND(B60, -3)</f>
        <v>0</v>
      </c>
      <c r="C118" s="788"/>
      <c r="D118" s="788"/>
      <c r="E118" s="788"/>
      <c r="F118" s="788"/>
      <c r="G118" s="789"/>
      <c r="H118" s="789"/>
      <c r="I118" s="788"/>
      <c r="J118" s="788"/>
      <c r="K118" s="788"/>
      <c r="L118" s="788"/>
      <c r="M118" s="788"/>
      <c r="N118" s="788"/>
      <c r="O118" s="788"/>
      <c r="P118" s="788"/>
      <c r="Q118" s="790"/>
      <c r="R118" s="790"/>
      <c r="S118" s="790"/>
    </row>
    <row r="120" spans="1:19" x14ac:dyDescent="0.35">
      <c r="A120" s="819" t="s">
        <v>543</v>
      </c>
      <c r="B120" s="1040" t="s">
        <v>576</v>
      </c>
      <c r="C120" s="1040"/>
      <c r="D120" s="1040"/>
      <c r="E120" s="1040"/>
      <c r="F120" s="1040"/>
      <c r="G120" s="1040"/>
      <c r="H120" s="1040"/>
    </row>
    <row r="121" spans="1:19" x14ac:dyDescent="0.35">
      <c r="A121" s="820"/>
      <c r="B121" s="1040"/>
      <c r="C121" s="1040"/>
      <c r="D121" s="1040"/>
      <c r="E121" s="1040"/>
      <c r="F121" s="1040"/>
      <c r="G121" s="1040"/>
      <c r="H121" s="1040"/>
    </row>
    <row r="122" spans="1:19" x14ac:dyDescent="0.35">
      <c r="A122" s="820"/>
      <c r="B122" s="1040"/>
      <c r="C122" s="1040"/>
      <c r="D122" s="1040"/>
      <c r="E122" s="1040"/>
      <c r="F122" s="1040"/>
      <c r="G122" s="1040"/>
      <c r="H122" s="1040"/>
    </row>
  </sheetData>
  <sheetProtection sheet="1" objects="1" scenarios="1"/>
  <mergeCells count="4">
    <mergeCell ref="B1:H1"/>
    <mergeCell ref="I1:P1"/>
    <mergeCell ref="Q1:S1"/>
    <mergeCell ref="B120:H12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2D442-AB30-4F6B-B48C-077BB470E84F}">
  <dimension ref="A1:T56"/>
  <sheetViews>
    <sheetView showGridLines="0" zoomScaleNormal="100" workbookViewId="0">
      <pane xSplit="1" ySplit="2" topLeftCell="B3" activePane="bottomRight" state="frozen"/>
      <selection activeCell="H1" sqref="H1:O1"/>
      <selection pane="topRight" activeCell="H1" sqref="H1:O1"/>
      <selection pane="bottomLeft" activeCell="H1" sqref="H1:O1"/>
      <selection pane="bottomRight" sqref="A1:XFD1048576"/>
    </sheetView>
  </sheetViews>
  <sheetFormatPr defaultColWidth="8.81640625" defaultRowHeight="13" x14ac:dyDescent="0.3"/>
  <cols>
    <col min="1" max="1" width="27.1796875" style="431" bestFit="1" customWidth="1"/>
    <col min="2" max="2" width="8.81640625" style="431"/>
    <col min="3" max="3" width="14.453125" style="431" customWidth="1"/>
    <col min="4" max="4" width="11.1796875" style="431" customWidth="1"/>
    <col min="5" max="5" width="12.453125" style="431" customWidth="1"/>
    <col min="6" max="11" width="8.81640625" style="431"/>
    <col min="12" max="12" width="16.1796875" style="431" customWidth="1"/>
    <col min="13" max="13" width="17.36328125" style="431" bestFit="1" customWidth="1"/>
    <col min="14" max="14" width="12.6328125" style="431" customWidth="1"/>
    <col min="15" max="15" width="18" style="431" bestFit="1" customWidth="1"/>
    <col min="16" max="16" width="14.54296875" style="431" bestFit="1" customWidth="1"/>
    <col min="17" max="17" width="13.453125" style="431" customWidth="1"/>
    <col min="18" max="18" width="13.36328125" style="431" customWidth="1"/>
    <col min="19" max="19" width="15.54296875" style="431" customWidth="1"/>
    <col min="20" max="20" width="18.36328125" style="431" bestFit="1" customWidth="1"/>
    <col min="21" max="16384" width="8.81640625" style="431"/>
  </cols>
  <sheetData>
    <row r="1" spans="1:20" ht="13.5" thickBot="1" x14ac:dyDescent="0.35">
      <c r="B1" s="1041" t="s">
        <v>577</v>
      </c>
      <c r="C1" s="1042"/>
      <c r="D1" s="1041" t="s">
        <v>578</v>
      </c>
      <c r="E1" s="1043"/>
      <c r="F1" s="1043"/>
      <c r="G1" s="1043"/>
      <c r="H1" s="1043"/>
      <c r="I1" s="1043"/>
      <c r="J1" s="1043"/>
      <c r="K1" s="1043"/>
      <c r="L1" s="1043"/>
      <c r="M1" s="1042"/>
      <c r="N1" s="1041" t="s">
        <v>579</v>
      </c>
      <c r="O1" s="1043"/>
      <c r="P1" s="1043"/>
      <c r="Q1" s="1043"/>
      <c r="R1" s="1043"/>
      <c r="S1" s="1043"/>
      <c r="T1" s="1042"/>
    </row>
    <row r="2" spans="1:20" s="447" customFormat="1" ht="39" x14ac:dyDescent="0.3">
      <c r="B2" s="822" t="s">
        <v>580</v>
      </c>
      <c r="C2" s="823" t="s">
        <v>581</v>
      </c>
      <c r="D2" s="822" t="s">
        <v>582</v>
      </c>
      <c r="E2" s="824" t="s">
        <v>583</v>
      </c>
      <c r="F2" s="824" t="s">
        <v>584</v>
      </c>
      <c r="G2" s="824" t="s">
        <v>585</v>
      </c>
      <c r="H2" s="824" t="s">
        <v>225</v>
      </c>
      <c r="I2" s="824" t="s">
        <v>586</v>
      </c>
      <c r="J2" s="824" t="s">
        <v>587</v>
      </c>
      <c r="K2" s="824" t="s">
        <v>370</v>
      </c>
      <c r="L2" s="824" t="s">
        <v>588</v>
      </c>
      <c r="M2" s="823" t="s">
        <v>589</v>
      </c>
      <c r="N2" s="822" t="s">
        <v>590</v>
      </c>
      <c r="O2" s="824" t="s">
        <v>591</v>
      </c>
      <c r="P2" s="824" t="s">
        <v>592</v>
      </c>
      <c r="Q2" s="824" t="s">
        <v>593</v>
      </c>
      <c r="R2" s="824" t="s">
        <v>594</v>
      </c>
      <c r="S2" s="824" t="s">
        <v>595</v>
      </c>
      <c r="T2" s="823" t="s">
        <v>596</v>
      </c>
    </row>
    <row r="3" spans="1:20" s="829" customFormat="1" x14ac:dyDescent="0.3">
      <c r="A3" s="825" t="s">
        <v>348</v>
      </c>
      <c r="B3" s="826">
        <f t="shared" ref="B3:T3" si="0">B4+B19+B32</f>
        <v>0</v>
      </c>
      <c r="C3" s="826">
        <f t="shared" si="0"/>
        <v>5</v>
      </c>
      <c r="D3" s="826">
        <f t="shared" si="0"/>
        <v>11</v>
      </c>
      <c r="E3" s="826">
        <f t="shared" si="0"/>
        <v>1126</v>
      </c>
      <c r="F3" s="826">
        <f t="shared" si="0"/>
        <v>23</v>
      </c>
      <c r="G3" s="826">
        <f t="shared" si="0"/>
        <v>60</v>
      </c>
      <c r="H3" s="826">
        <f t="shared" si="0"/>
        <v>193</v>
      </c>
      <c r="I3" s="826">
        <f t="shared" si="0"/>
        <v>217</v>
      </c>
      <c r="J3" s="826">
        <f t="shared" si="0"/>
        <v>3</v>
      </c>
      <c r="K3" s="826">
        <f t="shared" si="0"/>
        <v>642</v>
      </c>
      <c r="L3" s="826">
        <f t="shared" si="0"/>
        <v>1</v>
      </c>
      <c r="M3" s="827">
        <f t="shared" si="0"/>
        <v>20000</v>
      </c>
      <c r="N3" s="826">
        <f t="shared" si="0"/>
        <v>537</v>
      </c>
      <c r="O3" s="828">
        <f t="shared" si="0"/>
        <v>16176762.939999999</v>
      </c>
      <c r="P3" s="828">
        <f t="shared" si="0"/>
        <v>30171.31</v>
      </c>
      <c r="Q3" s="828">
        <f t="shared" si="0"/>
        <v>36670.630000000005</v>
      </c>
      <c r="R3" s="828">
        <f t="shared" si="0"/>
        <v>3838.99</v>
      </c>
      <c r="S3" s="828">
        <f t="shared" si="0"/>
        <v>166147.14000000001</v>
      </c>
      <c r="T3" s="828">
        <f t="shared" si="0"/>
        <v>15939934.869999999</v>
      </c>
    </row>
    <row r="4" spans="1:20" s="829" customFormat="1" x14ac:dyDescent="0.3">
      <c r="A4" s="830" t="s">
        <v>349</v>
      </c>
      <c r="B4" s="831">
        <f t="shared" ref="B4:T4" si="1">B5+B7+B9+B11+B13+B17</f>
        <v>0</v>
      </c>
      <c r="C4" s="831">
        <f t="shared" si="1"/>
        <v>0</v>
      </c>
      <c r="D4" s="831">
        <f t="shared" si="1"/>
        <v>5</v>
      </c>
      <c r="E4" s="831">
        <f t="shared" si="1"/>
        <v>1087</v>
      </c>
      <c r="F4" s="831">
        <f t="shared" si="1"/>
        <v>4</v>
      </c>
      <c r="G4" s="831">
        <f t="shared" si="1"/>
        <v>51</v>
      </c>
      <c r="H4" s="831">
        <f t="shared" si="1"/>
        <v>193</v>
      </c>
      <c r="I4" s="831">
        <f t="shared" si="1"/>
        <v>214</v>
      </c>
      <c r="J4" s="831">
        <f t="shared" si="1"/>
        <v>1</v>
      </c>
      <c r="K4" s="831">
        <f t="shared" si="1"/>
        <v>636</v>
      </c>
      <c r="L4" s="831">
        <f t="shared" si="1"/>
        <v>0</v>
      </c>
      <c r="M4" s="832">
        <f t="shared" si="1"/>
        <v>0</v>
      </c>
      <c r="N4" s="831">
        <f t="shared" si="1"/>
        <v>93</v>
      </c>
      <c r="O4" s="833">
        <f t="shared" si="1"/>
        <v>334408</v>
      </c>
      <c r="P4" s="833">
        <f t="shared" si="1"/>
        <v>10380</v>
      </c>
      <c r="Q4" s="833">
        <f t="shared" si="1"/>
        <v>33224</v>
      </c>
      <c r="R4" s="833">
        <f t="shared" si="1"/>
        <v>3200</v>
      </c>
      <c r="S4" s="833">
        <f t="shared" si="1"/>
        <v>165479</v>
      </c>
      <c r="T4" s="833">
        <f t="shared" si="1"/>
        <v>122125</v>
      </c>
    </row>
    <row r="5" spans="1:20" x14ac:dyDescent="0.3">
      <c r="A5" s="834" t="s">
        <v>351</v>
      </c>
      <c r="B5" s="835">
        <f t="shared" ref="B5:T5" si="2">B6</f>
        <v>0</v>
      </c>
      <c r="C5" s="835">
        <f t="shared" si="2"/>
        <v>0</v>
      </c>
      <c r="D5" s="835">
        <f t="shared" si="2"/>
        <v>3</v>
      </c>
      <c r="E5" s="835">
        <f t="shared" si="2"/>
        <v>0</v>
      </c>
      <c r="F5" s="835">
        <f t="shared" si="2"/>
        <v>0</v>
      </c>
      <c r="G5" s="835">
        <f t="shared" si="2"/>
        <v>0</v>
      </c>
      <c r="H5" s="835">
        <f t="shared" si="2"/>
        <v>0</v>
      </c>
      <c r="I5" s="835">
        <f t="shared" si="2"/>
        <v>0</v>
      </c>
      <c r="J5" s="835">
        <f t="shared" si="2"/>
        <v>0</v>
      </c>
      <c r="K5" s="835">
        <f t="shared" si="2"/>
        <v>0</v>
      </c>
      <c r="L5" s="835">
        <f t="shared" si="2"/>
        <v>0</v>
      </c>
      <c r="M5" s="836">
        <f t="shared" si="2"/>
        <v>0</v>
      </c>
      <c r="N5" s="835">
        <f t="shared" si="2"/>
        <v>26</v>
      </c>
      <c r="O5" s="837">
        <f t="shared" si="2"/>
        <v>194831</v>
      </c>
      <c r="P5" s="837">
        <f t="shared" si="2"/>
        <v>1832</v>
      </c>
      <c r="Q5" s="837">
        <f t="shared" si="2"/>
        <v>28694</v>
      </c>
      <c r="R5" s="837">
        <f t="shared" si="2"/>
        <v>1200</v>
      </c>
      <c r="S5" s="837">
        <f t="shared" si="2"/>
        <v>138000</v>
      </c>
      <c r="T5" s="837">
        <f t="shared" si="2"/>
        <v>25105</v>
      </c>
    </row>
    <row r="6" spans="1:20" x14ac:dyDescent="0.3">
      <c r="A6" s="838" t="s">
        <v>352</v>
      </c>
      <c r="B6" s="839">
        <v>0</v>
      </c>
      <c r="C6" s="840">
        <v>0</v>
      </c>
      <c r="D6" s="839">
        <f>3</f>
        <v>3</v>
      </c>
      <c r="E6" s="841">
        <f>SUM(F6:K6)</f>
        <v>0</v>
      </c>
      <c r="F6" s="841">
        <v>0</v>
      </c>
      <c r="G6" s="841">
        <v>0</v>
      </c>
      <c r="H6" s="841">
        <v>0</v>
      </c>
      <c r="I6" s="841">
        <v>0</v>
      </c>
      <c r="J6" s="841">
        <v>0</v>
      </c>
      <c r="K6" s="841">
        <v>0</v>
      </c>
      <c r="L6" s="841">
        <v>0</v>
      </c>
      <c r="M6" s="842">
        <v>0</v>
      </c>
      <c r="N6" s="839">
        <f>16+10</f>
        <v>26</v>
      </c>
      <c r="O6" s="843">
        <f>SUM(P6:T6)</f>
        <v>194831</v>
      </c>
      <c r="P6" s="843">
        <f>1575+257</f>
        <v>1832</v>
      </c>
      <c r="Q6" s="843">
        <f>28050+644</f>
        <v>28694</v>
      </c>
      <c r="R6" s="843">
        <f>1200</f>
        <v>1200</v>
      </c>
      <c r="S6" s="843">
        <f>138000</f>
        <v>138000</v>
      </c>
      <c r="T6" s="844">
        <f>25105</f>
        <v>25105</v>
      </c>
    </row>
    <row r="7" spans="1:20" x14ac:dyDescent="0.3">
      <c r="A7" s="834" t="s">
        <v>354</v>
      </c>
      <c r="B7" s="835">
        <f t="shared" ref="B7:T7" si="3">B8</f>
        <v>0</v>
      </c>
      <c r="C7" s="835">
        <f t="shared" si="3"/>
        <v>0</v>
      </c>
      <c r="D7" s="835">
        <f t="shared" si="3"/>
        <v>0</v>
      </c>
      <c r="E7" s="835">
        <f t="shared" si="3"/>
        <v>1</v>
      </c>
      <c r="F7" s="835">
        <f t="shared" si="3"/>
        <v>0</v>
      </c>
      <c r="G7" s="835">
        <f t="shared" si="3"/>
        <v>0</v>
      </c>
      <c r="H7" s="835">
        <f t="shared" si="3"/>
        <v>0</v>
      </c>
      <c r="I7" s="835">
        <f t="shared" si="3"/>
        <v>1</v>
      </c>
      <c r="J7" s="835">
        <f t="shared" si="3"/>
        <v>0</v>
      </c>
      <c r="K7" s="835">
        <f t="shared" si="3"/>
        <v>0</v>
      </c>
      <c r="L7" s="835">
        <f t="shared" si="3"/>
        <v>0</v>
      </c>
      <c r="M7" s="836">
        <f t="shared" si="3"/>
        <v>0</v>
      </c>
      <c r="N7" s="835">
        <f t="shared" si="3"/>
        <v>9</v>
      </c>
      <c r="O7" s="837">
        <f t="shared" si="3"/>
        <v>6645</v>
      </c>
      <c r="P7" s="837">
        <f t="shared" si="3"/>
        <v>1565</v>
      </c>
      <c r="Q7" s="837">
        <f t="shared" si="3"/>
        <v>30</v>
      </c>
      <c r="R7" s="837">
        <f t="shared" si="3"/>
        <v>0</v>
      </c>
      <c r="S7" s="837">
        <f t="shared" si="3"/>
        <v>50</v>
      </c>
      <c r="T7" s="837">
        <f t="shared" si="3"/>
        <v>5000</v>
      </c>
    </row>
    <row r="8" spans="1:20" x14ac:dyDescent="0.3">
      <c r="A8" s="838" t="s">
        <v>355</v>
      </c>
      <c r="B8" s="839">
        <v>0</v>
      </c>
      <c r="C8" s="840">
        <v>0</v>
      </c>
      <c r="D8" s="839">
        <v>0</v>
      </c>
      <c r="E8" s="841">
        <f>SUM(F8:K8)</f>
        <v>1</v>
      </c>
      <c r="F8" s="841">
        <v>0</v>
      </c>
      <c r="G8" s="841">
        <v>0</v>
      </c>
      <c r="H8" s="841">
        <v>0</v>
      </c>
      <c r="I8" s="841">
        <v>1</v>
      </c>
      <c r="J8" s="841">
        <v>0</v>
      </c>
      <c r="K8" s="841">
        <v>0</v>
      </c>
      <c r="L8" s="841">
        <v>0</v>
      </c>
      <c r="M8" s="842">
        <v>0</v>
      </c>
      <c r="N8" s="839">
        <v>9</v>
      </c>
      <c r="O8" s="843">
        <f>SUM(P8:T8)</f>
        <v>6645</v>
      </c>
      <c r="P8" s="843">
        <v>1565</v>
      </c>
      <c r="Q8" s="843">
        <v>30</v>
      </c>
      <c r="R8" s="843">
        <v>0</v>
      </c>
      <c r="S8" s="843">
        <v>50</v>
      </c>
      <c r="T8" s="844">
        <v>5000</v>
      </c>
    </row>
    <row r="9" spans="1:20" x14ac:dyDescent="0.3">
      <c r="A9" s="834" t="s">
        <v>356</v>
      </c>
      <c r="B9" s="835">
        <f t="shared" ref="B9:T9" si="4">B10</f>
        <v>0</v>
      </c>
      <c r="C9" s="835">
        <f t="shared" si="4"/>
        <v>0</v>
      </c>
      <c r="D9" s="835">
        <f t="shared" si="4"/>
        <v>2</v>
      </c>
      <c r="E9" s="835">
        <f t="shared" si="4"/>
        <v>0</v>
      </c>
      <c r="F9" s="835">
        <f t="shared" si="4"/>
        <v>0</v>
      </c>
      <c r="G9" s="835">
        <f t="shared" si="4"/>
        <v>4</v>
      </c>
      <c r="H9" s="835">
        <f t="shared" si="4"/>
        <v>1</v>
      </c>
      <c r="I9" s="835">
        <f t="shared" si="4"/>
        <v>0</v>
      </c>
      <c r="J9" s="835">
        <f t="shared" si="4"/>
        <v>1</v>
      </c>
      <c r="K9" s="835">
        <f t="shared" si="4"/>
        <v>6</v>
      </c>
      <c r="L9" s="835">
        <f t="shared" si="4"/>
        <v>0</v>
      </c>
      <c r="M9" s="836">
        <f t="shared" si="4"/>
        <v>0</v>
      </c>
      <c r="N9" s="835">
        <f t="shared" si="4"/>
        <v>11</v>
      </c>
      <c r="O9" s="837">
        <f t="shared" si="4"/>
        <v>5849</v>
      </c>
      <c r="P9" s="837">
        <f t="shared" si="4"/>
        <v>95</v>
      </c>
      <c r="Q9" s="837">
        <f t="shared" si="4"/>
        <v>520</v>
      </c>
      <c r="R9" s="837">
        <f t="shared" si="4"/>
        <v>0</v>
      </c>
      <c r="S9" s="837">
        <f t="shared" si="4"/>
        <v>214</v>
      </c>
      <c r="T9" s="837">
        <f t="shared" si="4"/>
        <v>5020</v>
      </c>
    </row>
    <row r="10" spans="1:20" x14ac:dyDescent="0.3">
      <c r="A10" s="838" t="s">
        <v>357</v>
      </c>
      <c r="B10" s="839">
        <v>0</v>
      </c>
      <c r="C10" s="840">
        <v>0</v>
      </c>
      <c r="D10" s="839">
        <v>2</v>
      </c>
      <c r="E10" s="841">
        <v>0</v>
      </c>
      <c r="F10" s="841">
        <v>0</v>
      </c>
      <c r="G10" s="841">
        <v>4</v>
      </c>
      <c r="H10" s="841">
        <v>1</v>
      </c>
      <c r="I10" s="841">
        <v>0</v>
      </c>
      <c r="J10" s="841">
        <v>1</v>
      </c>
      <c r="K10" s="841">
        <v>6</v>
      </c>
      <c r="L10" s="841">
        <v>0</v>
      </c>
      <c r="M10" s="842">
        <v>0</v>
      </c>
      <c r="N10" s="839">
        <v>11</v>
      </c>
      <c r="O10" s="843">
        <f>SUM(P10:T10)</f>
        <v>5849</v>
      </c>
      <c r="P10" s="843">
        <v>95</v>
      </c>
      <c r="Q10" s="843">
        <v>520</v>
      </c>
      <c r="R10" s="843">
        <v>0</v>
      </c>
      <c r="S10" s="843">
        <v>214</v>
      </c>
      <c r="T10" s="844">
        <v>5020</v>
      </c>
    </row>
    <row r="11" spans="1:20" x14ac:dyDescent="0.3">
      <c r="A11" s="834" t="s">
        <v>358</v>
      </c>
      <c r="B11" s="835">
        <f t="shared" ref="B11:T11" si="5">B12</f>
        <v>0</v>
      </c>
      <c r="C11" s="835">
        <f t="shared" si="5"/>
        <v>0</v>
      </c>
      <c r="D11" s="835">
        <f t="shared" si="5"/>
        <v>0</v>
      </c>
      <c r="E11" s="835">
        <f t="shared" si="5"/>
        <v>993</v>
      </c>
      <c r="F11" s="835">
        <f t="shared" si="5"/>
        <v>4</v>
      </c>
      <c r="G11" s="835">
        <f t="shared" si="5"/>
        <v>11</v>
      </c>
      <c r="H11" s="835">
        <f t="shared" si="5"/>
        <v>192</v>
      </c>
      <c r="I11" s="835">
        <f t="shared" si="5"/>
        <v>213</v>
      </c>
      <c r="J11" s="835">
        <f t="shared" si="5"/>
        <v>0</v>
      </c>
      <c r="K11" s="835">
        <f t="shared" si="5"/>
        <v>573</v>
      </c>
      <c r="L11" s="835">
        <f t="shared" si="5"/>
        <v>0</v>
      </c>
      <c r="M11" s="836">
        <f t="shared" si="5"/>
        <v>0</v>
      </c>
      <c r="N11" s="835">
        <f t="shared" si="5"/>
        <v>11</v>
      </c>
      <c r="O11" s="837">
        <f t="shared" si="5"/>
        <v>79630</v>
      </c>
      <c r="P11" s="837">
        <f t="shared" si="5"/>
        <v>80</v>
      </c>
      <c r="Q11" s="837">
        <f t="shared" si="5"/>
        <v>50</v>
      </c>
      <c r="R11" s="837">
        <f t="shared" si="5"/>
        <v>0</v>
      </c>
      <c r="S11" s="837">
        <f t="shared" si="5"/>
        <v>0</v>
      </c>
      <c r="T11" s="837">
        <f t="shared" si="5"/>
        <v>79500</v>
      </c>
    </row>
    <row r="12" spans="1:20" x14ac:dyDescent="0.3">
      <c r="A12" s="838" t="s">
        <v>359</v>
      </c>
      <c r="B12" s="839">
        <v>0</v>
      </c>
      <c r="C12" s="840">
        <v>0</v>
      </c>
      <c r="D12" s="839">
        <v>0</v>
      </c>
      <c r="E12" s="841">
        <f>SUM(F12:K12)</f>
        <v>993</v>
      </c>
      <c r="F12" s="841">
        <v>4</v>
      </c>
      <c r="G12" s="841">
        <v>11</v>
      </c>
      <c r="H12" s="841">
        <v>192</v>
      </c>
      <c r="I12" s="841">
        <v>213</v>
      </c>
      <c r="J12" s="841">
        <v>0</v>
      </c>
      <c r="K12" s="841">
        <v>573</v>
      </c>
      <c r="L12" s="841">
        <v>0</v>
      </c>
      <c r="M12" s="842">
        <v>0</v>
      </c>
      <c r="N12" s="839">
        <v>11</v>
      </c>
      <c r="O12" s="843">
        <f>SUM(P12:T12)</f>
        <v>79630</v>
      </c>
      <c r="P12" s="843">
        <v>80</v>
      </c>
      <c r="Q12" s="843">
        <v>50</v>
      </c>
      <c r="R12" s="843">
        <v>0</v>
      </c>
      <c r="S12" s="843">
        <v>0</v>
      </c>
      <c r="T12" s="844">
        <v>79500</v>
      </c>
    </row>
    <row r="13" spans="1:20" x14ac:dyDescent="0.3">
      <c r="A13" s="834" t="s">
        <v>360</v>
      </c>
      <c r="B13" s="835">
        <f t="shared" ref="B13:T13" si="6">B14+B15+B16</f>
        <v>0</v>
      </c>
      <c r="C13" s="835">
        <f t="shared" si="6"/>
        <v>0</v>
      </c>
      <c r="D13" s="835">
        <f t="shared" si="6"/>
        <v>0</v>
      </c>
      <c r="E13" s="835">
        <f t="shared" si="6"/>
        <v>93</v>
      </c>
      <c r="F13" s="835">
        <f t="shared" si="6"/>
        <v>0</v>
      </c>
      <c r="G13" s="835">
        <f t="shared" si="6"/>
        <v>36</v>
      </c>
      <c r="H13" s="835">
        <f t="shared" si="6"/>
        <v>0</v>
      </c>
      <c r="I13" s="835">
        <f t="shared" si="6"/>
        <v>0</v>
      </c>
      <c r="J13" s="835">
        <f t="shared" si="6"/>
        <v>0</v>
      </c>
      <c r="K13" s="835">
        <f t="shared" si="6"/>
        <v>57</v>
      </c>
      <c r="L13" s="835">
        <f t="shared" si="6"/>
        <v>0</v>
      </c>
      <c r="M13" s="836">
        <f t="shared" si="6"/>
        <v>0</v>
      </c>
      <c r="N13" s="835">
        <f t="shared" si="6"/>
        <v>28</v>
      </c>
      <c r="O13" s="837">
        <f t="shared" si="6"/>
        <v>36388</v>
      </c>
      <c r="P13" s="837">
        <f t="shared" si="6"/>
        <v>758</v>
      </c>
      <c r="Q13" s="837">
        <f t="shared" si="6"/>
        <v>915</v>
      </c>
      <c r="R13" s="837">
        <f t="shared" si="6"/>
        <v>0</v>
      </c>
      <c r="S13" s="837">
        <f t="shared" si="6"/>
        <v>27215</v>
      </c>
      <c r="T13" s="837">
        <f t="shared" si="6"/>
        <v>7500</v>
      </c>
    </row>
    <row r="14" spans="1:20" x14ac:dyDescent="0.3">
      <c r="A14" s="838" t="s">
        <v>361</v>
      </c>
      <c r="B14" s="839">
        <v>0</v>
      </c>
      <c r="C14" s="840">
        <v>0</v>
      </c>
      <c r="D14" s="839">
        <v>0</v>
      </c>
      <c r="E14" s="841">
        <v>0</v>
      </c>
      <c r="F14" s="841">
        <v>0</v>
      </c>
      <c r="G14" s="841">
        <v>0</v>
      </c>
      <c r="H14" s="841">
        <v>0</v>
      </c>
      <c r="I14" s="841">
        <v>0</v>
      </c>
      <c r="J14" s="841">
        <v>0</v>
      </c>
      <c r="K14" s="841">
        <v>0</v>
      </c>
      <c r="L14" s="841">
        <v>0</v>
      </c>
      <c r="M14" s="842">
        <v>0</v>
      </c>
      <c r="N14" s="839">
        <v>10</v>
      </c>
      <c r="O14" s="843">
        <f>SUM(P14:T14)</f>
        <v>3170</v>
      </c>
      <c r="P14" s="843">
        <v>0</v>
      </c>
      <c r="Q14" s="843">
        <v>170</v>
      </c>
      <c r="R14" s="843">
        <v>0</v>
      </c>
      <c r="S14" s="843">
        <v>0</v>
      </c>
      <c r="T14" s="844">
        <v>3000</v>
      </c>
    </row>
    <row r="15" spans="1:20" x14ac:dyDescent="0.3">
      <c r="A15" s="838" t="s">
        <v>362</v>
      </c>
      <c r="B15" s="839">
        <v>0</v>
      </c>
      <c r="C15" s="840">
        <v>0</v>
      </c>
      <c r="D15" s="839">
        <v>0</v>
      </c>
      <c r="E15" s="841">
        <f>SUM(F15:K15)</f>
        <v>1</v>
      </c>
      <c r="F15" s="841">
        <v>0</v>
      </c>
      <c r="G15" s="841">
        <v>0</v>
      </c>
      <c r="H15" s="841">
        <v>0</v>
      </c>
      <c r="I15" s="841">
        <v>0</v>
      </c>
      <c r="J15" s="841">
        <v>0</v>
      </c>
      <c r="K15" s="841">
        <v>1</v>
      </c>
      <c r="L15" s="841">
        <v>0</v>
      </c>
      <c r="M15" s="842">
        <v>0</v>
      </c>
      <c r="N15" s="839">
        <v>5</v>
      </c>
      <c r="O15" s="843">
        <f>SUM(P15:T15)</f>
        <v>4580</v>
      </c>
      <c r="P15" s="843">
        <v>70</v>
      </c>
      <c r="Q15" s="843">
        <v>10</v>
      </c>
      <c r="R15" s="843">
        <v>0</v>
      </c>
      <c r="S15" s="843">
        <v>0</v>
      </c>
      <c r="T15" s="844">
        <v>4500</v>
      </c>
    </row>
    <row r="16" spans="1:20" x14ac:dyDescent="0.3">
      <c r="A16" s="838" t="s">
        <v>363</v>
      </c>
      <c r="B16" s="839">
        <v>0</v>
      </c>
      <c r="C16" s="840">
        <v>0</v>
      </c>
      <c r="D16" s="839">
        <v>0</v>
      </c>
      <c r="E16" s="841">
        <f>SUM(F16:K16)</f>
        <v>92</v>
      </c>
      <c r="F16" s="841">
        <v>0</v>
      </c>
      <c r="G16" s="841">
        <v>36</v>
      </c>
      <c r="H16" s="841">
        <v>0</v>
      </c>
      <c r="I16" s="841">
        <v>0</v>
      </c>
      <c r="J16" s="841">
        <v>0</v>
      </c>
      <c r="K16" s="841">
        <v>56</v>
      </c>
      <c r="L16" s="841">
        <v>0</v>
      </c>
      <c r="M16" s="842">
        <v>0</v>
      </c>
      <c r="N16" s="839">
        <v>13</v>
      </c>
      <c r="O16" s="843">
        <f>SUM(P16:T16)</f>
        <v>28638</v>
      </c>
      <c r="P16" s="843">
        <v>688</v>
      </c>
      <c r="Q16" s="843">
        <v>735</v>
      </c>
      <c r="R16" s="843">
        <v>0</v>
      </c>
      <c r="S16" s="843">
        <v>27215</v>
      </c>
      <c r="T16" s="844">
        <v>0</v>
      </c>
    </row>
    <row r="17" spans="1:20" x14ac:dyDescent="0.3">
      <c r="A17" s="834" t="s">
        <v>364</v>
      </c>
      <c r="B17" s="835">
        <f t="shared" ref="B17:T17" si="7">B18</f>
        <v>0</v>
      </c>
      <c r="C17" s="835">
        <f t="shared" si="7"/>
        <v>0</v>
      </c>
      <c r="D17" s="835">
        <f t="shared" si="7"/>
        <v>0</v>
      </c>
      <c r="E17" s="835">
        <f t="shared" si="7"/>
        <v>0</v>
      </c>
      <c r="F17" s="835">
        <f t="shared" si="7"/>
        <v>0</v>
      </c>
      <c r="G17" s="835">
        <f t="shared" si="7"/>
        <v>0</v>
      </c>
      <c r="H17" s="835">
        <f t="shared" si="7"/>
        <v>0</v>
      </c>
      <c r="I17" s="835">
        <f t="shared" si="7"/>
        <v>0</v>
      </c>
      <c r="J17" s="835">
        <f t="shared" si="7"/>
        <v>0</v>
      </c>
      <c r="K17" s="835">
        <f t="shared" si="7"/>
        <v>0</v>
      </c>
      <c r="L17" s="835">
        <f t="shared" si="7"/>
        <v>0</v>
      </c>
      <c r="M17" s="836">
        <f t="shared" si="7"/>
        <v>0</v>
      </c>
      <c r="N17" s="835">
        <f t="shared" si="7"/>
        <v>8</v>
      </c>
      <c r="O17" s="837">
        <f t="shared" si="7"/>
        <v>11065</v>
      </c>
      <c r="P17" s="837">
        <f t="shared" si="7"/>
        <v>6050</v>
      </c>
      <c r="Q17" s="837">
        <f t="shared" si="7"/>
        <v>3015</v>
      </c>
      <c r="R17" s="837">
        <f t="shared" si="7"/>
        <v>2000</v>
      </c>
      <c r="S17" s="837">
        <f t="shared" si="7"/>
        <v>0</v>
      </c>
      <c r="T17" s="837">
        <f t="shared" si="7"/>
        <v>0</v>
      </c>
    </row>
    <row r="18" spans="1:20" x14ac:dyDescent="0.3">
      <c r="A18" s="838" t="s">
        <v>365</v>
      </c>
      <c r="B18" s="839">
        <v>0</v>
      </c>
      <c r="C18" s="840">
        <v>0</v>
      </c>
      <c r="D18" s="839">
        <v>0</v>
      </c>
      <c r="E18" s="841">
        <v>0</v>
      </c>
      <c r="F18" s="841">
        <v>0</v>
      </c>
      <c r="G18" s="841">
        <v>0</v>
      </c>
      <c r="H18" s="841">
        <v>0</v>
      </c>
      <c r="I18" s="841">
        <v>0</v>
      </c>
      <c r="J18" s="841">
        <v>0</v>
      </c>
      <c r="K18" s="841">
        <v>0</v>
      </c>
      <c r="L18" s="841">
        <v>0</v>
      </c>
      <c r="M18" s="842">
        <v>0</v>
      </c>
      <c r="N18" s="839">
        <v>8</v>
      </c>
      <c r="O18" s="843">
        <f>SUM(P18:T18)</f>
        <v>11065</v>
      </c>
      <c r="P18" s="843">
        <v>6050</v>
      </c>
      <c r="Q18" s="843">
        <v>3015</v>
      </c>
      <c r="R18" s="843">
        <v>2000</v>
      </c>
      <c r="S18" s="843">
        <v>0</v>
      </c>
      <c r="T18" s="844">
        <v>0</v>
      </c>
    </row>
    <row r="19" spans="1:20" s="829" customFormat="1" x14ac:dyDescent="0.3">
      <c r="A19" s="830" t="s">
        <v>366</v>
      </c>
      <c r="B19" s="831">
        <f t="shared" ref="B19:T19" si="8">B20+B23+B25+B27+B30</f>
        <v>0</v>
      </c>
      <c r="C19" s="831">
        <f t="shared" si="8"/>
        <v>0</v>
      </c>
      <c r="D19" s="831">
        <f t="shared" si="8"/>
        <v>0</v>
      </c>
      <c r="E19" s="831">
        <f t="shared" si="8"/>
        <v>9</v>
      </c>
      <c r="F19" s="831">
        <f t="shared" si="8"/>
        <v>0</v>
      </c>
      <c r="G19" s="831">
        <f t="shared" si="8"/>
        <v>3</v>
      </c>
      <c r="H19" s="831">
        <f t="shared" si="8"/>
        <v>0</v>
      </c>
      <c r="I19" s="831">
        <f t="shared" si="8"/>
        <v>0</v>
      </c>
      <c r="J19" s="831">
        <f t="shared" si="8"/>
        <v>0</v>
      </c>
      <c r="K19" s="831">
        <f t="shared" si="8"/>
        <v>6</v>
      </c>
      <c r="L19" s="831">
        <f t="shared" si="8"/>
        <v>0</v>
      </c>
      <c r="M19" s="832">
        <f t="shared" si="8"/>
        <v>0</v>
      </c>
      <c r="N19" s="831">
        <f t="shared" si="8"/>
        <v>165</v>
      </c>
      <c r="O19" s="833">
        <f t="shared" si="8"/>
        <v>117489.91</v>
      </c>
      <c r="P19" s="833">
        <f t="shared" si="8"/>
        <v>6737.1500000000005</v>
      </c>
      <c r="Q19" s="833">
        <f t="shared" si="8"/>
        <v>1575.1599999999999</v>
      </c>
      <c r="R19" s="833">
        <f t="shared" si="8"/>
        <v>506.5</v>
      </c>
      <c r="S19" s="833">
        <f t="shared" si="8"/>
        <v>0</v>
      </c>
      <c r="T19" s="833">
        <f t="shared" si="8"/>
        <v>108671.1</v>
      </c>
    </row>
    <row r="20" spans="1:20" x14ac:dyDescent="0.3">
      <c r="A20" s="834" t="s">
        <v>367</v>
      </c>
      <c r="B20" s="835">
        <f t="shared" ref="B20:T20" si="9">B21+B22</f>
        <v>0</v>
      </c>
      <c r="C20" s="835">
        <f t="shared" si="9"/>
        <v>0</v>
      </c>
      <c r="D20" s="835">
        <f t="shared" si="9"/>
        <v>0</v>
      </c>
      <c r="E20" s="835">
        <f t="shared" si="9"/>
        <v>0</v>
      </c>
      <c r="F20" s="835">
        <f t="shared" si="9"/>
        <v>0</v>
      </c>
      <c r="G20" s="835">
        <f t="shared" si="9"/>
        <v>0</v>
      </c>
      <c r="H20" s="835">
        <f t="shared" si="9"/>
        <v>0</v>
      </c>
      <c r="I20" s="835">
        <f t="shared" si="9"/>
        <v>0</v>
      </c>
      <c r="J20" s="835">
        <f t="shared" si="9"/>
        <v>0</v>
      </c>
      <c r="K20" s="835">
        <f t="shared" si="9"/>
        <v>0</v>
      </c>
      <c r="L20" s="835">
        <f t="shared" si="9"/>
        <v>0</v>
      </c>
      <c r="M20" s="836">
        <f t="shared" si="9"/>
        <v>0</v>
      </c>
      <c r="N20" s="835">
        <f t="shared" si="9"/>
        <v>107</v>
      </c>
      <c r="O20" s="837">
        <f t="shared" si="9"/>
        <v>6568.4500000000007</v>
      </c>
      <c r="P20" s="837">
        <f t="shared" si="9"/>
        <v>5934.85</v>
      </c>
      <c r="Q20" s="837">
        <f t="shared" si="9"/>
        <v>514</v>
      </c>
      <c r="R20" s="837">
        <f t="shared" si="9"/>
        <v>0</v>
      </c>
      <c r="S20" s="837">
        <f t="shared" si="9"/>
        <v>0</v>
      </c>
      <c r="T20" s="837">
        <f t="shared" si="9"/>
        <v>119.6</v>
      </c>
    </row>
    <row r="21" spans="1:20" x14ac:dyDescent="0.3">
      <c r="A21" s="838" t="s">
        <v>368</v>
      </c>
      <c r="B21" s="839">
        <v>0</v>
      </c>
      <c r="C21" s="840">
        <v>0</v>
      </c>
      <c r="D21" s="839">
        <v>0</v>
      </c>
      <c r="E21" s="841">
        <f>SUM(F21:K21)</f>
        <v>0</v>
      </c>
      <c r="F21" s="841">
        <v>0</v>
      </c>
      <c r="G21" s="841">
        <v>0</v>
      </c>
      <c r="H21" s="841">
        <v>0</v>
      </c>
      <c r="I21" s="841">
        <v>0</v>
      </c>
      <c r="J21" s="841">
        <v>0</v>
      </c>
      <c r="K21" s="841">
        <v>0</v>
      </c>
      <c r="L21" s="841">
        <v>0</v>
      </c>
      <c r="M21" s="842">
        <v>0</v>
      </c>
      <c r="N21" s="839">
        <v>88</v>
      </c>
      <c r="O21" s="843">
        <f>SUM(P21:T21)</f>
        <v>6471.4500000000007</v>
      </c>
      <c r="P21" s="843">
        <v>5861.85</v>
      </c>
      <c r="Q21" s="843">
        <v>490</v>
      </c>
      <c r="R21" s="843">
        <v>0</v>
      </c>
      <c r="S21" s="843">
        <v>0</v>
      </c>
      <c r="T21" s="844">
        <v>119.6</v>
      </c>
    </row>
    <row r="22" spans="1:20" x14ac:dyDescent="0.3">
      <c r="A22" s="838" t="s">
        <v>369</v>
      </c>
      <c r="B22" s="839">
        <v>0</v>
      </c>
      <c r="C22" s="840">
        <v>0</v>
      </c>
      <c r="D22" s="839">
        <v>0</v>
      </c>
      <c r="E22" s="841">
        <f>SUM(F22:K22)</f>
        <v>0</v>
      </c>
      <c r="F22" s="841">
        <v>0</v>
      </c>
      <c r="G22" s="841">
        <v>0</v>
      </c>
      <c r="H22" s="841">
        <v>0</v>
      </c>
      <c r="I22" s="841">
        <v>0</v>
      </c>
      <c r="J22" s="841">
        <v>0</v>
      </c>
      <c r="K22" s="841">
        <v>0</v>
      </c>
      <c r="L22" s="841">
        <v>0</v>
      </c>
      <c r="M22" s="842">
        <v>0</v>
      </c>
      <c r="N22" s="839">
        <v>19</v>
      </c>
      <c r="O22" s="843">
        <f>SUM(P22:T22)</f>
        <v>97</v>
      </c>
      <c r="P22" s="843">
        <v>73</v>
      </c>
      <c r="Q22" s="843">
        <v>24</v>
      </c>
      <c r="R22" s="843">
        <v>0</v>
      </c>
      <c r="S22" s="843">
        <v>0</v>
      </c>
      <c r="T22" s="844">
        <v>0</v>
      </c>
    </row>
    <row r="23" spans="1:20" x14ac:dyDescent="0.3">
      <c r="A23" s="834" t="s">
        <v>371</v>
      </c>
      <c r="B23" s="835">
        <f t="shared" ref="B23:T23" si="10">B24</f>
        <v>0</v>
      </c>
      <c r="C23" s="835">
        <f t="shared" si="10"/>
        <v>0</v>
      </c>
      <c r="D23" s="835">
        <f t="shared" si="10"/>
        <v>0</v>
      </c>
      <c r="E23" s="835">
        <f t="shared" si="10"/>
        <v>3</v>
      </c>
      <c r="F23" s="835">
        <f t="shared" si="10"/>
        <v>0</v>
      </c>
      <c r="G23" s="835">
        <f t="shared" si="10"/>
        <v>3</v>
      </c>
      <c r="H23" s="835">
        <f t="shared" si="10"/>
        <v>0</v>
      </c>
      <c r="I23" s="835">
        <f t="shared" si="10"/>
        <v>0</v>
      </c>
      <c r="J23" s="835">
        <f t="shared" si="10"/>
        <v>0</v>
      </c>
      <c r="K23" s="835">
        <f t="shared" si="10"/>
        <v>0</v>
      </c>
      <c r="L23" s="835">
        <f t="shared" si="10"/>
        <v>0</v>
      </c>
      <c r="M23" s="836">
        <f t="shared" si="10"/>
        <v>0</v>
      </c>
      <c r="N23" s="835">
        <f t="shared" si="10"/>
        <v>7</v>
      </c>
      <c r="O23" s="837">
        <f t="shared" si="10"/>
        <v>106050</v>
      </c>
      <c r="P23" s="837">
        <f t="shared" si="10"/>
        <v>95</v>
      </c>
      <c r="Q23" s="837">
        <f t="shared" si="10"/>
        <v>30</v>
      </c>
      <c r="R23" s="837">
        <f t="shared" si="10"/>
        <v>400</v>
      </c>
      <c r="S23" s="837">
        <f t="shared" si="10"/>
        <v>0</v>
      </c>
      <c r="T23" s="837">
        <f t="shared" si="10"/>
        <v>105525</v>
      </c>
    </row>
    <row r="24" spans="1:20" x14ac:dyDescent="0.3">
      <c r="A24" s="838" t="s">
        <v>372</v>
      </c>
      <c r="B24" s="839">
        <v>0</v>
      </c>
      <c r="C24" s="840">
        <v>0</v>
      </c>
      <c r="D24" s="839">
        <v>0</v>
      </c>
      <c r="E24" s="841">
        <f>SUM(F24:K24)</f>
        <v>3</v>
      </c>
      <c r="F24" s="841">
        <v>0</v>
      </c>
      <c r="G24" s="841">
        <v>3</v>
      </c>
      <c r="H24" s="841">
        <v>0</v>
      </c>
      <c r="I24" s="841">
        <v>0</v>
      </c>
      <c r="J24" s="841">
        <v>0</v>
      </c>
      <c r="K24" s="841">
        <v>0</v>
      </c>
      <c r="L24" s="841">
        <v>0</v>
      </c>
      <c r="M24" s="842">
        <v>0</v>
      </c>
      <c r="N24" s="839">
        <v>7</v>
      </c>
      <c r="O24" s="843">
        <f>SUM(P24:T24)</f>
        <v>106050</v>
      </c>
      <c r="P24" s="843">
        <v>95</v>
      </c>
      <c r="Q24" s="843">
        <v>30</v>
      </c>
      <c r="R24" s="843">
        <v>400</v>
      </c>
      <c r="S24" s="843">
        <v>0</v>
      </c>
      <c r="T24" s="844">
        <v>105525</v>
      </c>
    </row>
    <row r="25" spans="1:20" x14ac:dyDescent="0.3">
      <c r="A25" s="834" t="s">
        <v>374</v>
      </c>
      <c r="B25" s="835">
        <f t="shared" ref="B25:T25" si="11">B26</f>
        <v>0</v>
      </c>
      <c r="C25" s="835">
        <f t="shared" si="11"/>
        <v>0</v>
      </c>
      <c r="D25" s="835">
        <f t="shared" si="11"/>
        <v>0</v>
      </c>
      <c r="E25" s="835">
        <f t="shared" si="11"/>
        <v>6</v>
      </c>
      <c r="F25" s="835">
        <f t="shared" si="11"/>
        <v>0</v>
      </c>
      <c r="G25" s="835">
        <f t="shared" si="11"/>
        <v>0</v>
      </c>
      <c r="H25" s="835">
        <f t="shared" si="11"/>
        <v>0</v>
      </c>
      <c r="I25" s="835">
        <f t="shared" si="11"/>
        <v>0</v>
      </c>
      <c r="J25" s="835">
        <f t="shared" si="11"/>
        <v>0</v>
      </c>
      <c r="K25" s="835">
        <f t="shared" si="11"/>
        <v>6</v>
      </c>
      <c r="L25" s="835">
        <f t="shared" si="11"/>
        <v>0</v>
      </c>
      <c r="M25" s="836">
        <f t="shared" si="11"/>
        <v>0</v>
      </c>
      <c r="N25" s="835">
        <f t="shared" si="11"/>
        <v>23</v>
      </c>
      <c r="O25" s="837">
        <f t="shared" si="11"/>
        <v>4177.16</v>
      </c>
      <c r="P25" s="837">
        <f t="shared" si="11"/>
        <v>581</v>
      </c>
      <c r="Q25" s="837">
        <f t="shared" si="11"/>
        <v>543.16</v>
      </c>
      <c r="R25" s="837">
        <f t="shared" si="11"/>
        <v>26.5</v>
      </c>
      <c r="S25" s="837">
        <f t="shared" si="11"/>
        <v>0</v>
      </c>
      <c r="T25" s="837">
        <f t="shared" si="11"/>
        <v>3026.5</v>
      </c>
    </row>
    <row r="26" spans="1:20" x14ac:dyDescent="0.3">
      <c r="A26" s="838" t="s">
        <v>375</v>
      </c>
      <c r="B26" s="839">
        <v>0</v>
      </c>
      <c r="C26" s="840">
        <v>0</v>
      </c>
      <c r="D26" s="839">
        <v>0</v>
      </c>
      <c r="E26" s="841">
        <f>SUM(F26:K26)</f>
        <v>6</v>
      </c>
      <c r="F26" s="841">
        <v>0</v>
      </c>
      <c r="G26" s="841">
        <v>0</v>
      </c>
      <c r="H26" s="841">
        <v>0</v>
      </c>
      <c r="I26" s="841">
        <v>0</v>
      </c>
      <c r="J26" s="841">
        <v>0</v>
      </c>
      <c r="K26" s="841">
        <v>6</v>
      </c>
      <c r="L26" s="841">
        <v>0</v>
      </c>
      <c r="M26" s="842">
        <v>0</v>
      </c>
      <c r="N26" s="839">
        <v>23</v>
      </c>
      <c r="O26" s="843">
        <f>SUM(P26:T26)</f>
        <v>4177.16</v>
      </c>
      <c r="P26" s="843">
        <v>581</v>
      </c>
      <c r="Q26" s="843">
        <v>543.16</v>
      </c>
      <c r="R26" s="843">
        <v>26.5</v>
      </c>
      <c r="S26" s="843">
        <v>0</v>
      </c>
      <c r="T26" s="844">
        <v>3026.5</v>
      </c>
    </row>
    <row r="27" spans="1:20" x14ac:dyDescent="0.3">
      <c r="A27" s="834" t="s">
        <v>376</v>
      </c>
      <c r="B27" s="835">
        <f t="shared" ref="B27:T27" si="12">B28+B29</f>
        <v>0</v>
      </c>
      <c r="C27" s="835">
        <f t="shared" si="12"/>
        <v>0</v>
      </c>
      <c r="D27" s="835">
        <f t="shared" si="12"/>
        <v>0</v>
      </c>
      <c r="E27" s="835">
        <f t="shared" si="12"/>
        <v>0</v>
      </c>
      <c r="F27" s="835">
        <f t="shared" si="12"/>
        <v>0</v>
      </c>
      <c r="G27" s="835">
        <f t="shared" si="12"/>
        <v>0</v>
      </c>
      <c r="H27" s="835">
        <f t="shared" si="12"/>
        <v>0</v>
      </c>
      <c r="I27" s="835">
        <f t="shared" si="12"/>
        <v>0</v>
      </c>
      <c r="J27" s="835">
        <f t="shared" si="12"/>
        <v>0</v>
      </c>
      <c r="K27" s="835">
        <f t="shared" si="12"/>
        <v>0</v>
      </c>
      <c r="L27" s="835">
        <f t="shared" si="12"/>
        <v>0</v>
      </c>
      <c r="M27" s="836">
        <f t="shared" si="12"/>
        <v>0</v>
      </c>
      <c r="N27" s="835">
        <f t="shared" si="12"/>
        <v>3</v>
      </c>
      <c r="O27" s="837">
        <f t="shared" si="12"/>
        <v>22.3</v>
      </c>
      <c r="P27" s="837">
        <f t="shared" si="12"/>
        <v>12.3</v>
      </c>
      <c r="Q27" s="837">
        <f t="shared" si="12"/>
        <v>10</v>
      </c>
      <c r="R27" s="837">
        <f t="shared" si="12"/>
        <v>0</v>
      </c>
      <c r="S27" s="837">
        <f t="shared" si="12"/>
        <v>0</v>
      </c>
      <c r="T27" s="837">
        <f t="shared" si="12"/>
        <v>0</v>
      </c>
    </row>
    <row r="28" spans="1:20" x14ac:dyDescent="0.3">
      <c r="A28" s="838" t="s">
        <v>377</v>
      </c>
      <c r="B28" s="839">
        <v>0</v>
      </c>
      <c r="C28" s="840">
        <v>0</v>
      </c>
      <c r="D28" s="839">
        <v>0</v>
      </c>
      <c r="E28" s="841">
        <f>SUM(F28:K28)</f>
        <v>0</v>
      </c>
      <c r="F28" s="841">
        <v>0</v>
      </c>
      <c r="G28" s="841">
        <v>0</v>
      </c>
      <c r="H28" s="841">
        <v>0</v>
      </c>
      <c r="I28" s="841">
        <v>0</v>
      </c>
      <c r="J28" s="841">
        <v>0</v>
      </c>
      <c r="K28" s="841">
        <v>0</v>
      </c>
      <c r="L28" s="841">
        <v>0</v>
      </c>
      <c r="M28" s="842">
        <v>0</v>
      </c>
      <c r="N28" s="839">
        <v>2</v>
      </c>
      <c r="O28" s="843">
        <f>SUM(P28:T28)</f>
        <v>12.3</v>
      </c>
      <c r="P28" s="843">
        <v>12.3</v>
      </c>
      <c r="Q28" s="843">
        <v>0</v>
      </c>
      <c r="R28" s="843">
        <v>0</v>
      </c>
      <c r="S28" s="843">
        <v>0</v>
      </c>
      <c r="T28" s="844">
        <v>0</v>
      </c>
    </row>
    <row r="29" spans="1:20" x14ac:dyDescent="0.3">
      <c r="A29" s="838" t="s">
        <v>378</v>
      </c>
      <c r="B29" s="839">
        <v>0</v>
      </c>
      <c r="C29" s="840">
        <v>0</v>
      </c>
      <c r="D29" s="839">
        <v>0</v>
      </c>
      <c r="E29" s="841">
        <f>SUM(F29:K29)</f>
        <v>0</v>
      </c>
      <c r="F29" s="841">
        <v>0</v>
      </c>
      <c r="G29" s="841">
        <v>0</v>
      </c>
      <c r="H29" s="841">
        <v>0</v>
      </c>
      <c r="I29" s="841">
        <v>0</v>
      </c>
      <c r="J29" s="841">
        <v>0</v>
      </c>
      <c r="K29" s="841">
        <v>0</v>
      </c>
      <c r="L29" s="841">
        <v>0</v>
      </c>
      <c r="M29" s="842">
        <v>0</v>
      </c>
      <c r="N29" s="839">
        <v>1</v>
      </c>
      <c r="O29" s="843">
        <f>SUM(P29:T29)</f>
        <v>10</v>
      </c>
      <c r="P29" s="843">
        <v>0</v>
      </c>
      <c r="Q29" s="843">
        <v>10</v>
      </c>
      <c r="R29" s="843">
        <v>0</v>
      </c>
      <c r="S29" s="843">
        <v>0</v>
      </c>
      <c r="T29" s="844">
        <v>0</v>
      </c>
    </row>
    <row r="30" spans="1:20" x14ac:dyDescent="0.3">
      <c r="A30" s="834" t="s">
        <v>379</v>
      </c>
      <c r="B30" s="835">
        <f t="shared" ref="B30:T30" si="13">B31</f>
        <v>0</v>
      </c>
      <c r="C30" s="835">
        <f t="shared" si="13"/>
        <v>0</v>
      </c>
      <c r="D30" s="835">
        <f t="shared" si="13"/>
        <v>0</v>
      </c>
      <c r="E30" s="835">
        <f t="shared" si="13"/>
        <v>0</v>
      </c>
      <c r="F30" s="835">
        <f t="shared" si="13"/>
        <v>0</v>
      </c>
      <c r="G30" s="835">
        <f t="shared" si="13"/>
        <v>0</v>
      </c>
      <c r="H30" s="835">
        <f t="shared" si="13"/>
        <v>0</v>
      </c>
      <c r="I30" s="835">
        <f t="shared" si="13"/>
        <v>0</v>
      </c>
      <c r="J30" s="835">
        <f t="shared" si="13"/>
        <v>0</v>
      </c>
      <c r="K30" s="835">
        <f t="shared" si="13"/>
        <v>0</v>
      </c>
      <c r="L30" s="835">
        <f t="shared" si="13"/>
        <v>0</v>
      </c>
      <c r="M30" s="836">
        <f t="shared" si="13"/>
        <v>0</v>
      </c>
      <c r="N30" s="835">
        <f t="shared" si="13"/>
        <v>25</v>
      </c>
      <c r="O30" s="837">
        <f t="shared" si="13"/>
        <v>672</v>
      </c>
      <c r="P30" s="837">
        <f t="shared" si="13"/>
        <v>114</v>
      </c>
      <c r="Q30" s="837">
        <f t="shared" si="13"/>
        <v>478</v>
      </c>
      <c r="R30" s="837">
        <f t="shared" si="13"/>
        <v>80</v>
      </c>
      <c r="S30" s="837">
        <f t="shared" si="13"/>
        <v>0</v>
      </c>
      <c r="T30" s="837">
        <f t="shared" si="13"/>
        <v>0</v>
      </c>
    </row>
    <row r="31" spans="1:20" x14ac:dyDescent="0.3">
      <c r="A31" s="838" t="s">
        <v>380</v>
      </c>
      <c r="B31" s="839">
        <v>0</v>
      </c>
      <c r="C31" s="840">
        <v>0</v>
      </c>
      <c r="D31" s="839">
        <v>0</v>
      </c>
      <c r="E31" s="841">
        <f>SUM(F31:K31)</f>
        <v>0</v>
      </c>
      <c r="F31" s="841">
        <v>0</v>
      </c>
      <c r="G31" s="841">
        <v>0</v>
      </c>
      <c r="H31" s="841">
        <v>0</v>
      </c>
      <c r="I31" s="841">
        <v>0</v>
      </c>
      <c r="J31" s="841">
        <v>0</v>
      </c>
      <c r="K31" s="841">
        <v>0</v>
      </c>
      <c r="L31" s="841">
        <v>0</v>
      </c>
      <c r="M31" s="842">
        <v>0</v>
      </c>
      <c r="N31" s="839">
        <v>25</v>
      </c>
      <c r="O31" s="843">
        <f>SUM(P31:T31)</f>
        <v>672</v>
      </c>
      <c r="P31" s="843">
        <v>114</v>
      </c>
      <c r="Q31" s="843">
        <v>478</v>
      </c>
      <c r="R31" s="843">
        <v>80</v>
      </c>
      <c r="S31" s="843">
        <v>0</v>
      </c>
      <c r="T31" s="844">
        <v>0</v>
      </c>
    </row>
    <row r="32" spans="1:20" s="829" customFormat="1" x14ac:dyDescent="0.3">
      <c r="A32" s="830" t="s">
        <v>381</v>
      </c>
      <c r="B32" s="833">
        <f t="shared" ref="B32:T32" si="14">B33+B35</f>
        <v>0</v>
      </c>
      <c r="C32" s="833">
        <f t="shared" si="14"/>
        <v>5</v>
      </c>
      <c r="D32" s="833">
        <f t="shared" si="14"/>
        <v>6</v>
      </c>
      <c r="E32" s="833">
        <f t="shared" si="14"/>
        <v>30</v>
      </c>
      <c r="F32" s="833">
        <f t="shared" si="14"/>
        <v>19</v>
      </c>
      <c r="G32" s="833">
        <f t="shared" si="14"/>
        <v>6</v>
      </c>
      <c r="H32" s="833">
        <f t="shared" si="14"/>
        <v>0</v>
      </c>
      <c r="I32" s="833">
        <f t="shared" si="14"/>
        <v>3</v>
      </c>
      <c r="J32" s="833">
        <f t="shared" si="14"/>
        <v>2</v>
      </c>
      <c r="K32" s="833">
        <f t="shared" si="14"/>
        <v>0</v>
      </c>
      <c r="L32" s="845">
        <f t="shared" si="14"/>
        <v>1</v>
      </c>
      <c r="M32" s="846">
        <f t="shared" si="14"/>
        <v>20000</v>
      </c>
      <c r="N32" s="845">
        <f t="shared" si="14"/>
        <v>279</v>
      </c>
      <c r="O32" s="833">
        <f t="shared" si="14"/>
        <v>15724865.029999999</v>
      </c>
      <c r="P32" s="833">
        <f t="shared" si="14"/>
        <v>13054.16</v>
      </c>
      <c r="Q32" s="833">
        <f t="shared" si="14"/>
        <v>1871.4699999999998</v>
      </c>
      <c r="R32" s="833">
        <f t="shared" si="14"/>
        <v>132.49</v>
      </c>
      <c r="S32" s="833">
        <f t="shared" si="14"/>
        <v>668.14</v>
      </c>
      <c r="T32" s="833">
        <f t="shared" si="14"/>
        <v>15709138.77</v>
      </c>
    </row>
    <row r="33" spans="1:20" x14ac:dyDescent="0.3">
      <c r="A33" s="834" t="s">
        <v>382</v>
      </c>
      <c r="B33" s="835">
        <f t="shared" ref="B33:T33" si="15">B34</f>
        <v>0</v>
      </c>
      <c r="C33" s="835">
        <f t="shared" si="15"/>
        <v>0</v>
      </c>
      <c r="D33" s="835">
        <f t="shared" si="15"/>
        <v>0</v>
      </c>
      <c r="E33" s="835">
        <f t="shared" si="15"/>
        <v>1</v>
      </c>
      <c r="F33" s="835">
        <f t="shared" si="15"/>
        <v>0</v>
      </c>
      <c r="G33" s="835">
        <f t="shared" si="15"/>
        <v>1</v>
      </c>
      <c r="H33" s="835">
        <f t="shared" si="15"/>
        <v>0</v>
      </c>
      <c r="I33" s="835">
        <f t="shared" si="15"/>
        <v>0</v>
      </c>
      <c r="J33" s="835">
        <f t="shared" si="15"/>
        <v>0</v>
      </c>
      <c r="K33" s="835">
        <f t="shared" si="15"/>
        <v>0</v>
      </c>
      <c r="L33" s="835">
        <f t="shared" si="15"/>
        <v>0</v>
      </c>
      <c r="M33" s="835">
        <f t="shared" si="15"/>
        <v>0</v>
      </c>
      <c r="N33" s="835">
        <f t="shared" si="15"/>
        <v>0</v>
      </c>
      <c r="O33" s="837">
        <f t="shared" si="15"/>
        <v>0</v>
      </c>
      <c r="P33" s="837">
        <f t="shared" si="15"/>
        <v>0</v>
      </c>
      <c r="Q33" s="837">
        <f t="shared" si="15"/>
        <v>0</v>
      </c>
      <c r="R33" s="837">
        <f t="shared" si="15"/>
        <v>0</v>
      </c>
      <c r="S33" s="837">
        <f t="shared" si="15"/>
        <v>0</v>
      </c>
      <c r="T33" s="837">
        <f t="shared" si="15"/>
        <v>0</v>
      </c>
    </row>
    <row r="34" spans="1:20" x14ac:dyDescent="0.3">
      <c r="A34" s="838" t="s">
        <v>383</v>
      </c>
      <c r="B34" s="839">
        <v>0</v>
      </c>
      <c r="C34" s="840">
        <v>0</v>
      </c>
      <c r="D34" s="839">
        <v>0</v>
      </c>
      <c r="E34" s="841">
        <f>SUM(F34:K34)</f>
        <v>1</v>
      </c>
      <c r="F34" s="841">
        <v>0</v>
      </c>
      <c r="G34" s="841">
        <v>1</v>
      </c>
      <c r="H34" s="841">
        <v>0</v>
      </c>
      <c r="I34" s="841">
        <v>0</v>
      </c>
      <c r="J34" s="841">
        <v>0</v>
      </c>
      <c r="K34" s="841">
        <v>0</v>
      </c>
      <c r="L34" s="841">
        <v>0</v>
      </c>
      <c r="M34" s="842">
        <v>0</v>
      </c>
      <c r="N34" s="839">
        <v>0</v>
      </c>
      <c r="O34" s="843">
        <f>SUM(P34:T34)</f>
        <v>0</v>
      </c>
      <c r="P34" s="843">
        <v>0</v>
      </c>
      <c r="Q34" s="843">
        <v>0</v>
      </c>
      <c r="R34" s="843">
        <v>0</v>
      </c>
      <c r="S34" s="843">
        <v>0</v>
      </c>
      <c r="T34" s="844">
        <v>0</v>
      </c>
    </row>
    <row r="35" spans="1:20" x14ac:dyDescent="0.3">
      <c r="A35" s="834" t="s">
        <v>384</v>
      </c>
      <c r="B35" s="847">
        <f t="shared" ref="B35:T35" si="16">SUM(B36:B43)</f>
        <v>0</v>
      </c>
      <c r="C35" s="837">
        <f t="shared" si="16"/>
        <v>5</v>
      </c>
      <c r="D35" s="837">
        <f t="shared" si="16"/>
        <v>6</v>
      </c>
      <c r="E35" s="837">
        <f t="shared" si="16"/>
        <v>29</v>
      </c>
      <c r="F35" s="837">
        <f t="shared" si="16"/>
        <v>19</v>
      </c>
      <c r="G35" s="837">
        <f t="shared" si="16"/>
        <v>5</v>
      </c>
      <c r="H35" s="837">
        <f t="shared" si="16"/>
        <v>0</v>
      </c>
      <c r="I35" s="837">
        <f t="shared" si="16"/>
        <v>3</v>
      </c>
      <c r="J35" s="837">
        <f t="shared" si="16"/>
        <v>2</v>
      </c>
      <c r="K35" s="837">
        <f t="shared" si="16"/>
        <v>0</v>
      </c>
      <c r="L35" s="847">
        <f t="shared" si="16"/>
        <v>1</v>
      </c>
      <c r="M35" s="848">
        <f t="shared" si="16"/>
        <v>20000</v>
      </c>
      <c r="N35" s="847">
        <f t="shared" si="16"/>
        <v>279</v>
      </c>
      <c r="O35" s="837">
        <f t="shared" si="16"/>
        <v>15724865.029999999</v>
      </c>
      <c r="P35" s="837">
        <f t="shared" si="16"/>
        <v>13054.16</v>
      </c>
      <c r="Q35" s="837">
        <f t="shared" si="16"/>
        <v>1871.4699999999998</v>
      </c>
      <c r="R35" s="837">
        <f t="shared" si="16"/>
        <v>132.49</v>
      </c>
      <c r="S35" s="837">
        <f t="shared" si="16"/>
        <v>668.14</v>
      </c>
      <c r="T35" s="837">
        <f t="shared" si="16"/>
        <v>15709138.77</v>
      </c>
    </row>
    <row r="36" spans="1:20" ht="14.5" customHeight="1" x14ac:dyDescent="0.3">
      <c r="A36" s="838" t="s">
        <v>532</v>
      </c>
      <c r="B36" s="839">
        <v>0</v>
      </c>
      <c r="C36" s="840">
        <v>3</v>
      </c>
      <c r="D36" s="839">
        <v>2</v>
      </c>
      <c r="E36" s="841">
        <f t="shared" ref="E36:E43" si="17">SUM(F36:K36)</f>
        <v>8</v>
      </c>
      <c r="F36" s="841">
        <v>7</v>
      </c>
      <c r="G36" s="841">
        <v>1</v>
      </c>
      <c r="H36" s="841">
        <v>0</v>
      </c>
      <c r="I36" s="841">
        <v>0</v>
      </c>
      <c r="J36" s="841">
        <v>0</v>
      </c>
      <c r="K36" s="841">
        <v>0</v>
      </c>
      <c r="L36" s="841">
        <v>1</v>
      </c>
      <c r="M36" s="842">
        <v>20000</v>
      </c>
      <c r="N36" s="839">
        <v>67</v>
      </c>
      <c r="O36" s="843">
        <f t="shared" ref="O36:O43" si="18">SUM(P36:T36)</f>
        <v>360112.64000000001</v>
      </c>
      <c r="P36" s="843">
        <v>3743.75</v>
      </c>
      <c r="Q36" s="843">
        <v>209.14</v>
      </c>
      <c r="R36" s="843">
        <v>132.49</v>
      </c>
      <c r="S36" s="843">
        <v>94.63</v>
      </c>
      <c r="T36" s="844">
        <v>355932.63</v>
      </c>
    </row>
    <row r="37" spans="1:20" x14ac:dyDescent="0.3">
      <c r="A37" s="838" t="s">
        <v>389</v>
      </c>
      <c r="B37" s="839">
        <v>0</v>
      </c>
      <c r="C37" s="840">
        <v>2</v>
      </c>
      <c r="D37" s="839">
        <v>1</v>
      </c>
      <c r="E37" s="841">
        <f t="shared" si="17"/>
        <v>17</v>
      </c>
      <c r="F37" s="841">
        <v>8</v>
      </c>
      <c r="G37" s="841">
        <v>4</v>
      </c>
      <c r="H37" s="841">
        <v>0</v>
      </c>
      <c r="I37" s="841">
        <v>3</v>
      </c>
      <c r="J37" s="841">
        <v>2</v>
      </c>
      <c r="K37" s="841">
        <v>0</v>
      </c>
      <c r="L37" s="841">
        <v>0</v>
      </c>
      <c r="M37" s="842">
        <v>0</v>
      </c>
      <c r="N37" s="839">
        <v>115</v>
      </c>
      <c r="O37" s="843">
        <f t="shared" si="18"/>
        <v>14383295.549999999</v>
      </c>
      <c r="P37" s="843">
        <v>6903.88</v>
      </c>
      <c r="Q37" s="843">
        <v>1518.33</v>
      </c>
      <c r="R37" s="843">
        <v>0</v>
      </c>
      <c r="S37" s="843">
        <v>246.06</v>
      </c>
      <c r="T37" s="844">
        <v>14374627.279999999</v>
      </c>
    </row>
    <row r="38" spans="1:20" x14ac:dyDescent="0.3">
      <c r="A38" s="838" t="s">
        <v>390</v>
      </c>
      <c r="B38" s="839">
        <v>0</v>
      </c>
      <c r="C38" s="840">
        <v>0</v>
      </c>
      <c r="D38" s="839">
        <v>0</v>
      </c>
      <c r="E38" s="841">
        <f t="shared" si="17"/>
        <v>0</v>
      </c>
      <c r="F38" s="841">
        <v>0</v>
      </c>
      <c r="G38" s="841">
        <v>0</v>
      </c>
      <c r="H38" s="841">
        <v>0</v>
      </c>
      <c r="I38" s="841">
        <v>0</v>
      </c>
      <c r="J38" s="841">
        <v>0</v>
      </c>
      <c r="K38" s="841">
        <v>0</v>
      </c>
      <c r="L38" s="841">
        <v>0</v>
      </c>
      <c r="M38" s="842">
        <v>0</v>
      </c>
      <c r="N38" s="839">
        <v>0</v>
      </c>
      <c r="O38" s="843">
        <f t="shared" si="18"/>
        <v>0</v>
      </c>
      <c r="P38" s="843">
        <v>0</v>
      </c>
      <c r="Q38" s="843">
        <v>0</v>
      </c>
      <c r="R38" s="843">
        <v>0</v>
      </c>
      <c r="S38" s="843">
        <v>0</v>
      </c>
      <c r="T38" s="844">
        <v>0</v>
      </c>
    </row>
    <row r="39" spans="1:20" ht="14.5" customHeight="1" x14ac:dyDescent="0.3">
      <c r="A39" s="838" t="s">
        <v>391</v>
      </c>
      <c r="B39" s="839">
        <v>0</v>
      </c>
      <c r="C39" s="840">
        <v>0</v>
      </c>
      <c r="D39" s="839">
        <v>0</v>
      </c>
      <c r="E39" s="841">
        <f t="shared" si="17"/>
        <v>0</v>
      </c>
      <c r="F39" s="841">
        <v>0</v>
      </c>
      <c r="G39" s="841">
        <v>0</v>
      </c>
      <c r="H39" s="841">
        <v>0</v>
      </c>
      <c r="I39" s="841">
        <v>0</v>
      </c>
      <c r="J39" s="841">
        <v>0</v>
      </c>
      <c r="K39" s="841">
        <v>0</v>
      </c>
      <c r="L39" s="841">
        <v>0</v>
      </c>
      <c r="M39" s="842">
        <v>0</v>
      </c>
      <c r="N39" s="839">
        <v>19</v>
      </c>
      <c r="O39" s="843">
        <f t="shared" si="18"/>
        <v>1432.76</v>
      </c>
      <c r="P39" s="843">
        <v>1273.77</v>
      </c>
      <c r="Q39" s="843">
        <v>22.71</v>
      </c>
      <c r="R39" s="843">
        <v>0</v>
      </c>
      <c r="S39" s="843">
        <v>132.49</v>
      </c>
      <c r="T39" s="844">
        <v>3.79</v>
      </c>
    </row>
    <row r="40" spans="1:20" ht="14.5" customHeight="1" x14ac:dyDescent="0.3">
      <c r="A40" s="838" t="s">
        <v>392</v>
      </c>
      <c r="B40" s="839">
        <v>0</v>
      </c>
      <c r="C40" s="840">
        <v>0</v>
      </c>
      <c r="D40" s="839">
        <v>3</v>
      </c>
      <c r="E40" s="841">
        <f t="shared" si="17"/>
        <v>1</v>
      </c>
      <c r="F40" s="841">
        <v>1</v>
      </c>
      <c r="G40" s="841">
        <v>0</v>
      </c>
      <c r="H40" s="841">
        <v>0</v>
      </c>
      <c r="I40" s="841">
        <v>0</v>
      </c>
      <c r="J40" s="841">
        <v>0</v>
      </c>
      <c r="K40" s="841">
        <v>0</v>
      </c>
      <c r="L40" s="841">
        <v>0</v>
      </c>
      <c r="M40" s="842">
        <v>0</v>
      </c>
      <c r="N40" s="839">
        <v>32</v>
      </c>
      <c r="O40" s="843">
        <f t="shared" si="18"/>
        <v>549273.32000000007</v>
      </c>
      <c r="P40" s="843">
        <v>138.13</v>
      </c>
      <c r="Q40" s="843">
        <v>3.79</v>
      </c>
      <c r="R40" s="843">
        <v>0</v>
      </c>
      <c r="S40" s="843">
        <v>0</v>
      </c>
      <c r="T40" s="844">
        <v>549131.4</v>
      </c>
    </row>
    <row r="41" spans="1:20" x14ac:dyDescent="0.3">
      <c r="A41" s="838" t="s">
        <v>717</v>
      </c>
      <c r="B41" s="839">
        <v>0</v>
      </c>
      <c r="C41" s="840">
        <v>0</v>
      </c>
      <c r="D41" s="839">
        <v>0</v>
      </c>
      <c r="E41" s="841">
        <f t="shared" si="17"/>
        <v>0</v>
      </c>
      <c r="F41" s="841">
        <v>0</v>
      </c>
      <c r="G41" s="841">
        <v>0</v>
      </c>
      <c r="H41" s="841">
        <v>0</v>
      </c>
      <c r="I41" s="841">
        <v>0</v>
      </c>
      <c r="J41" s="841">
        <v>0</v>
      </c>
      <c r="K41" s="841">
        <v>0</v>
      </c>
      <c r="L41" s="841">
        <v>0</v>
      </c>
      <c r="M41" s="842">
        <v>0</v>
      </c>
      <c r="N41" s="839">
        <v>45</v>
      </c>
      <c r="O41" s="843">
        <f t="shared" si="18"/>
        <v>430747.93</v>
      </c>
      <c r="P41" s="843">
        <v>991.8</v>
      </c>
      <c r="Q41" s="843">
        <v>117.5</v>
      </c>
      <c r="R41" s="843">
        <v>0</v>
      </c>
      <c r="S41" s="843">
        <v>194.96</v>
      </c>
      <c r="T41" s="844">
        <v>429443.67</v>
      </c>
    </row>
    <row r="42" spans="1:20" x14ac:dyDescent="0.3">
      <c r="A42" s="838" t="s">
        <v>395</v>
      </c>
      <c r="B42" s="839">
        <v>0</v>
      </c>
      <c r="C42" s="840">
        <v>0</v>
      </c>
      <c r="D42" s="839">
        <v>0</v>
      </c>
      <c r="E42" s="841">
        <f t="shared" si="17"/>
        <v>0</v>
      </c>
      <c r="F42" s="841">
        <v>0</v>
      </c>
      <c r="G42" s="841">
        <v>0</v>
      </c>
      <c r="H42" s="841">
        <v>0</v>
      </c>
      <c r="I42" s="841">
        <v>0</v>
      </c>
      <c r="J42" s="841">
        <v>0</v>
      </c>
      <c r="K42" s="841">
        <v>0</v>
      </c>
      <c r="L42" s="841">
        <v>0</v>
      </c>
      <c r="M42" s="842">
        <v>0</v>
      </c>
      <c r="N42" s="839">
        <v>0</v>
      </c>
      <c r="O42" s="843">
        <f t="shared" si="18"/>
        <v>0</v>
      </c>
      <c r="P42" s="843">
        <v>0</v>
      </c>
      <c r="Q42" s="843">
        <v>0</v>
      </c>
      <c r="R42" s="843">
        <v>0</v>
      </c>
      <c r="S42" s="843">
        <v>0</v>
      </c>
      <c r="T42" s="844">
        <v>0</v>
      </c>
    </row>
    <row r="43" spans="1:20" ht="13.5" thickBot="1" x14ac:dyDescent="0.35">
      <c r="A43" s="838" t="s">
        <v>396</v>
      </c>
      <c r="B43" s="849">
        <v>0</v>
      </c>
      <c r="C43" s="850">
        <v>0</v>
      </c>
      <c r="D43" s="849">
        <v>0</v>
      </c>
      <c r="E43" s="841">
        <f t="shared" si="17"/>
        <v>3</v>
      </c>
      <c r="F43" s="851">
        <v>3</v>
      </c>
      <c r="G43" s="851">
        <v>0</v>
      </c>
      <c r="H43" s="851">
        <v>0</v>
      </c>
      <c r="I43" s="851">
        <v>0</v>
      </c>
      <c r="J43" s="851">
        <v>0</v>
      </c>
      <c r="K43" s="851">
        <v>0</v>
      </c>
      <c r="L43" s="851">
        <v>0</v>
      </c>
      <c r="M43" s="852">
        <v>0</v>
      </c>
      <c r="N43" s="849">
        <v>1</v>
      </c>
      <c r="O43" s="843">
        <f t="shared" si="18"/>
        <v>2.83</v>
      </c>
      <c r="P43" s="853">
        <v>2.83</v>
      </c>
      <c r="Q43" s="853">
        <v>0</v>
      </c>
      <c r="R43" s="853">
        <v>0</v>
      </c>
      <c r="S43" s="853">
        <v>0</v>
      </c>
      <c r="T43" s="854">
        <v>0</v>
      </c>
    </row>
    <row r="55" s="431" customFormat="1" ht="14.5" hidden="1" customHeight="1" x14ac:dyDescent="0.3"/>
    <row r="56" s="431" customFormat="1" ht="14.5" hidden="1" customHeight="1" thickBot="1" x14ac:dyDescent="0.35"/>
  </sheetData>
  <sheetProtection sheet="1" selectLockedCells="1" selectUnlockedCells="1"/>
  <mergeCells count="3">
    <mergeCell ref="B1:C1"/>
    <mergeCell ref="D1:M1"/>
    <mergeCell ref="N1:T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4CDF6F4168214A978DBD67DE9AF3DA" ma:contentTypeVersion="15" ma:contentTypeDescription="Create a new document." ma:contentTypeScope="" ma:versionID="26edbe79654a744338cafea97d87c866">
  <xsd:schema xmlns:xsd="http://www.w3.org/2001/XMLSchema" xmlns:xs="http://www.w3.org/2001/XMLSchema" xmlns:p="http://schemas.microsoft.com/office/2006/metadata/properties" xmlns:ns2="9bff127a-7c4f-4618-b19b-8e8261cf3f49" xmlns:ns3="20047184-dd29-460f-9721-b19aac3cf60d" targetNamespace="http://schemas.microsoft.com/office/2006/metadata/properties" ma:root="true" ma:fieldsID="648818a65157154cbfbb479a2798501b" ns2:_="" ns3:_="">
    <xsd:import namespace="9bff127a-7c4f-4618-b19b-8e8261cf3f49"/>
    <xsd:import namespace="20047184-dd29-460f-9721-b19aac3cf60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picture" minOccurs="0"/>
                <xsd:element ref="ns2:imag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f127a-7c4f-4618-b19b-8e8261cf3f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picture" ma:index="20" nillable="true" ma:displayName="picture" ma:format="Thumbnail" ma:internalName="picture">
      <xsd:simpleType>
        <xsd:restriction base="dms:Unknown"/>
      </xsd:simpleType>
    </xsd:element>
    <xsd:element name="image" ma:index="21" nillable="true" ma:displayName="image" ma:format="Thumbnail" ma:internalName="image">
      <xsd:simpleType>
        <xsd:restriction base="dms:Unknow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0047184-dd29-460f-9721-b19aac3cf60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icture xmlns="9bff127a-7c4f-4618-b19b-8e8261cf3f49" xsi:nil="true"/>
    <image xmlns="9bff127a-7c4f-4618-b19b-8e8261cf3f49" xsi:nil="true"/>
  </documentManagement>
</p:properties>
</file>

<file path=customXml/itemProps1.xml><?xml version="1.0" encoding="utf-8"?>
<ds:datastoreItem xmlns:ds="http://schemas.openxmlformats.org/officeDocument/2006/customXml" ds:itemID="{769727F0-04B2-4769-9054-00BF22D9A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f127a-7c4f-4618-b19b-8e8261cf3f49"/>
    <ds:schemaRef ds:uri="20047184-dd29-460f-9721-b19aac3cf6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FF26C8-27D7-49E2-85AE-D0B6DE214D1A}">
  <ds:schemaRefs>
    <ds:schemaRef ds:uri="http://schemas.microsoft.com/sharepoint/v3/contenttype/forms"/>
  </ds:schemaRefs>
</ds:datastoreItem>
</file>

<file path=customXml/itemProps3.xml><?xml version="1.0" encoding="utf-8"?>
<ds:datastoreItem xmlns:ds="http://schemas.openxmlformats.org/officeDocument/2006/customXml" ds:itemID="{DA5D45D3-6CBA-4901-9E80-532C06F8479F}">
  <ds:schemaRefs>
    <ds:schemaRef ds:uri="9bff127a-7c4f-4618-b19b-8e8261cf3f49"/>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0047184-dd29-460f-9721-b19aac3cf60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GRI Content Index</vt:lpstr>
      <vt:lpstr>GRI Content</vt:lpstr>
      <vt:lpstr>Economic Values</vt:lpstr>
      <vt:lpstr>Safety</vt:lpstr>
      <vt:lpstr>Water Dec</vt:lpstr>
      <vt:lpstr>Water</vt:lpstr>
      <vt:lpstr>GHG and Energy Use Dec</vt:lpstr>
      <vt:lpstr>GHG and Energy </vt:lpstr>
      <vt:lpstr>Incidents and Spills</vt:lpstr>
      <vt:lpstr>Employment and Training </vt:lpstr>
      <vt:lpstr>Economic Value</vt:lpstr>
      <vt:lpstr>Waste and Materials</vt:lpstr>
      <vt:lpstr>Template (2)</vt:lpstr>
      <vt:lpstr>Land Disturbed</vt:lpstr>
      <vt:lpstr>Air Emissions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Content Index (GRI and SASB)</dc:title>
  <dc:subject/>
  <dc:creator>Audet, Jesse</dc:creator>
  <cp:keywords/>
  <dc:description/>
  <cp:lastModifiedBy>Duncan Pettit</cp:lastModifiedBy>
  <cp:revision/>
  <dcterms:created xsi:type="dcterms:W3CDTF">2020-01-13T00:10:25Z</dcterms:created>
  <dcterms:modified xsi:type="dcterms:W3CDTF">2022-05-12T15:19:44Z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0x010100364CDF6F4168214A978DBD67DE9AF3DA</vt:lpwstr>
  </property>
</Properties>
</file>